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autoCompressPictures="0"/>
  <bookViews>
    <workbookView xWindow="120" yWindow="120" windowWidth="24920" windowHeight="12340"/>
  </bookViews>
  <sheets>
    <sheet name="Glory Mountain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1" i="1" l="1"/>
  <c r="C152" i="1"/>
  <c r="C153" i="1"/>
  <c r="F222" i="1"/>
  <c r="E222" i="1"/>
  <c r="C72" i="1"/>
  <c r="C7" i="1"/>
  <c r="C73" i="1"/>
  <c r="C186" i="1"/>
  <c r="F223" i="1"/>
  <c r="E223" i="1"/>
  <c r="E224" i="1"/>
  <c r="F221" i="1"/>
  <c r="F224" i="1"/>
  <c r="C230" i="1"/>
  <c r="D221" i="1"/>
  <c r="D222" i="1"/>
  <c r="D223" i="1"/>
  <c r="D224" i="1"/>
  <c r="C231" i="1"/>
  <c r="C224" i="1"/>
  <c r="C232" i="1"/>
  <c r="C234" i="1"/>
  <c r="D234" i="1"/>
  <c r="D232" i="1"/>
  <c r="D231" i="1"/>
  <c r="D230" i="1"/>
  <c r="C228" i="1"/>
  <c r="D228" i="1"/>
  <c r="C74" i="1"/>
  <c r="C187" i="1"/>
  <c r="C75" i="1"/>
  <c r="C188" i="1"/>
  <c r="C76" i="1"/>
  <c r="C189" i="1"/>
  <c r="C190" i="1"/>
  <c r="C90" i="1"/>
  <c r="C204" i="1"/>
  <c r="C91" i="1"/>
  <c r="C205" i="1"/>
  <c r="C92" i="1"/>
  <c r="C206" i="1"/>
  <c r="C207" i="1"/>
  <c r="C154" i="1"/>
  <c r="C155" i="1"/>
  <c r="C139" i="1"/>
  <c r="C172" i="1"/>
  <c r="C208" i="1"/>
  <c r="C183" i="1"/>
  <c r="C182" i="1"/>
  <c r="C209" i="1"/>
  <c r="C179" i="1"/>
  <c r="C180" i="1"/>
  <c r="C181" i="1"/>
  <c r="C210" i="1"/>
  <c r="C211" i="1"/>
  <c r="C81" i="1"/>
  <c r="C194" i="1"/>
  <c r="C82" i="1"/>
  <c r="C195" i="1"/>
  <c r="C83" i="1"/>
  <c r="C196" i="1"/>
  <c r="C156" i="1"/>
  <c r="C157" i="1"/>
  <c r="C197" i="1"/>
  <c r="C84" i="1"/>
  <c r="C198" i="1"/>
  <c r="C199" i="1"/>
  <c r="C200" i="1"/>
  <c r="C201" i="1"/>
  <c r="C213" i="1"/>
  <c r="C215" i="1"/>
  <c r="C161" i="1"/>
  <c r="C162" i="1"/>
  <c r="C165" i="1"/>
  <c r="C166" i="1"/>
  <c r="C167" i="1"/>
  <c r="C168" i="1"/>
  <c r="C169" i="1"/>
  <c r="C173" i="1"/>
  <c r="C175" i="1"/>
  <c r="C44" i="1"/>
  <c r="C45" i="1"/>
  <c r="C142" i="1"/>
  <c r="D148" i="1"/>
  <c r="E148" i="1"/>
  <c r="F148" i="1"/>
  <c r="C140" i="1"/>
  <c r="G148" i="1"/>
  <c r="H148" i="1"/>
  <c r="D147" i="1"/>
  <c r="E147" i="1"/>
  <c r="F147" i="1"/>
  <c r="G147" i="1"/>
  <c r="H147" i="1"/>
  <c r="D146" i="1"/>
  <c r="E146" i="1"/>
  <c r="F146" i="1"/>
  <c r="G146" i="1"/>
  <c r="H146" i="1"/>
  <c r="C138" i="1"/>
  <c r="D126" i="1"/>
  <c r="D125" i="1"/>
  <c r="D124" i="1"/>
  <c r="D127" i="1"/>
  <c r="D122" i="1"/>
  <c r="D129" i="1"/>
  <c r="D134" i="1"/>
  <c r="C126" i="1"/>
  <c r="C125" i="1"/>
  <c r="C124" i="1"/>
  <c r="C127" i="1"/>
  <c r="C122" i="1"/>
  <c r="C129" i="1"/>
  <c r="C134" i="1"/>
  <c r="D133" i="1"/>
  <c r="C133" i="1"/>
  <c r="D132" i="1"/>
  <c r="C132" i="1"/>
  <c r="C112" i="1"/>
  <c r="C111" i="1"/>
  <c r="C110" i="1"/>
  <c r="C113" i="1"/>
  <c r="C105" i="1"/>
  <c r="C104" i="1"/>
  <c r="C103" i="1"/>
  <c r="C106" i="1"/>
  <c r="C107" i="1"/>
  <c r="C108" i="1"/>
  <c r="C116" i="1"/>
  <c r="D72" i="1"/>
  <c r="D73" i="1"/>
  <c r="D74" i="1"/>
  <c r="D75" i="1"/>
  <c r="D76" i="1"/>
  <c r="D77" i="1"/>
  <c r="D90" i="1"/>
  <c r="D91" i="1"/>
  <c r="D92" i="1"/>
  <c r="C93" i="1"/>
  <c r="D93" i="1"/>
  <c r="D81" i="1"/>
  <c r="D82" i="1"/>
  <c r="D83" i="1"/>
  <c r="D84" i="1"/>
  <c r="D85" i="1"/>
  <c r="D86" i="1"/>
  <c r="D87" i="1"/>
  <c r="D96" i="1"/>
  <c r="D98" i="1"/>
  <c r="C77" i="1"/>
  <c r="C85" i="1"/>
  <c r="C86" i="1"/>
  <c r="C87" i="1"/>
  <c r="C96" i="1"/>
  <c r="C98" i="1"/>
  <c r="D94" i="1"/>
  <c r="C94" i="1"/>
</calcChain>
</file>

<file path=xl/sharedStrings.xml><?xml version="1.0" encoding="utf-8"?>
<sst xmlns="http://schemas.openxmlformats.org/spreadsheetml/2006/main" count="228" uniqueCount="178">
  <si>
    <t>Glory Mountain State Ski Area Case</t>
  </si>
  <si>
    <t>Base Case Inputs</t>
  </si>
  <si>
    <t>% of Total Skiers</t>
  </si>
  <si>
    <t>Average Ticket Revenue</t>
  </si>
  <si>
    <t>Weekend Skiers</t>
  </si>
  <si>
    <t>Midweek Skiers</t>
  </si>
  <si>
    <t>Skier Lessons</t>
  </si>
  <si>
    <t>Expected days of Operation</t>
  </si>
  <si>
    <t>Expected Skier Days</t>
  </si>
  <si>
    <t>State Subsidy</t>
  </si>
  <si>
    <t>Average Food Purchases</t>
  </si>
  <si>
    <t>Food Costs as % of Food Revenue</t>
  </si>
  <si>
    <t>Central Management Salaries</t>
  </si>
  <si>
    <t>Benefits as % of Salaries</t>
  </si>
  <si>
    <t>Annual Energy Costs</t>
  </si>
  <si>
    <t>Daily Insurance Cost</t>
  </si>
  <si>
    <t>Flexible %</t>
  </si>
  <si>
    <t>Cost of Capital</t>
  </si>
  <si>
    <t>Number</t>
  </si>
  <si>
    <t>Days Worked</t>
  </si>
  <si>
    <t>Hours Worked</t>
  </si>
  <si>
    <t>Hourly Wage</t>
  </si>
  <si>
    <t>Instructors &amp; Ski Patrol</t>
  </si>
  <si>
    <t>Lift Attendants, Maintenance &amp; Grooming</t>
  </si>
  <si>
    <t>Kitchen Staff</t>
  </si>
  <si>
    <t>Equipment &amp; Fuel Costs</t>
  </si>
  <si>
    <t>Wind Turbine Inputs</t>
  </si>
  <si>
    <t>Initial Cost of Wind Turbine</t>
  </si>
  <si>
    <t>Maintenance Cost</t>
  </si>
  <si>
    <t>Year of Maintenance</t>
  </si>
  <si>
    <t>Annual Cash Flow from Energy Savings</t>
  </si>
  <si>
    <t>Useful Life of Turbine</t>
  </si>
  <si>
    <t>Depreciable Life</t>
  </si>
  <si>
    <t>Snowmaking Equipment Inputs</t>
  </si>
  <si>
    <t>Big-Mouth</t>
  </si>
  <si>
    <t>Whisper -Quiet</t>
  </si>
  <si>
    <t>Acquisition Cost of Equipment</t>
  </si>
  <si>
    <t>Annual Operating Cost</t>
  </si>
  <si>
    <t>Useful Life</t>
  </si>
  <si>
    <t>Residual Value as % of Purchase Price</t>
  </si>
  <si>
    <t>Glory Kid's Center Inputs</t>
  </si>
  <si>
    <t>Director's Salary</t>
  </si>
  <si>
    <t>Benefits</t>
  </si>
  <si>
    <t>Total Salary &amp; Benefits - Fixed Costs (FC)</t>
  </si>
  <si>
    <t>Care Hours per day</t>
  </si>
  <si>
    <t>Child-Care Worker Salary per hour</t>
  </si>
  <si>
    <t>Children per child-care worker</t>
  </si>
  <si>
    <t>Daily Charge per Child</t>
  </si>
  <si>
    <t>Variable Costs</t>
  </si>
  <si>
    <t xml:space="preserve">     Food Costs</t>
  </si>
  <si>
    <t xml:space="preserve">     Supply Costs</t>
  </si>
  <si>
    <t>Expected Increase in skier volume due to Kid's Center</t>
  </si>
  <si>
    <t>Expected % of Skiers with children 3 to 7</t>
  </si>
  <si>
    <t>Average Children enrolled per skier day</t>
  </si>
  <si>
    <t>Average Daily Number of Child-Care Workers</t>
  </si>
  <si>
    <t>Revised Budget Inputs</t>
  </si>
  <si>
    <t>Par value of bond</t>
  </si>
  <si>
    <t>Coupon Rate</t>
  </si>
  <si>
    <t>Variance Analysis Input</t>
  </si>
  <si>
    <t>Actual</t>
  </si>
  <si>
    <t>Days of Operation</t>
  </si>
  <si>
    <t>Average number of skiers per day</t>
  </si>
  <si>
    <t>Average Ticket revenue</t>
  </si>
  <si>
    <t>Question 1 - Flexible Budget</t>
  </si>
  <si>
    <t>Base Budget</t>
  </si>
  <si>
    <t>Minus 5%</t>
  </si>
  <si>
    <t>Type of Cost or Revenue</t>
  </si>
  <si>
    <t>Revenue</t>
  </si>
  <si>
    <t xml:space="preserve">   Lift Ticket Sales</t>
  </si>
  <si>
    <t xml:space="preserve">       Weekend Skiers </t>
  </si>
  <si>
    <t>V</t>
  </si>
  <si>
    <t xml:space="preserve">       Midweek Skiers</t>
  </si>
  <si>
    <t xml:space="preserve">   Lessons</t>
  </si>
  <si>
    <t xml:space="preserve">   Food Sales</t>
  </si>
  <si>
    <t xml:space="preserve">   State Subsidy</t>
  </si>
  <si>
    <t>F</t>
  </si>
  <si>
    <t>Total Revenue</t>
  </si>
  <si>
    <t>Expenses</t>
  </si>
  <si>
    <t xml:space="preserve">   Salaries</t>
  </si>
  <si>
    <t xml:space="preserve">        Management Salaries</t>
  </si>
  <si>
    <t xml:space="preserve">        Instructors &amp; Ski Patrol</t>
  </si>
  <si>
    <t xml:space="preserve">        Attendants, Maintenance &amp; Grooming</t>
  </si>
  <si>
    <t xml:space="preserve">       Kitchen Staff</t>
  </si>
  <si>
    <t>Total Salaries</t>
  </si>
  <si>
    <t xml:space="preserve">     Benefits</t>
  </si>
  <si>
    <t>Partial V</t>
  </si>
  <si>
    <t>Total Salaries &amp; Benefits</t>
  </si>
  <si>
    <t>Other Operating Expenses</t>
  </si>
  <si>
    <t xml:space="preserve">   Fuel &amp; Equipment Costs</t>
  </si>
  <si>
    <t xml:space="preserve">   Energy</t>
  </si>
  <si>
    <t xml:space="preserve">   Insurance</t>
  </si>
  <si>
    <t xml:space="preserve">   Food Costs</t>
  </si>
  <si>
    <t>Total Other Operating Expenses</t>
  </si>
  <si>
    <t>Total Expenses</t>
  </si>
  <si>
    <t>Profit/(Loss)</t>
  </si>
  <si>
    <t>Question 2 - Wind Turbine</t>
  </si>
  <si>
    <t>PV = PV(rate, nper, pmt, fv, type)</t>
  </si>
  <si>
    <r>
      <t xml:space="preserve">Cost of Maintenance </t>
    </r>
    <r>
      <rPr>
        <b/>
        <sz val="10"/>
        <rFont val="Arial"/>
        <family val="2"/>
      </rPr>
      <t>(FV)</t>
    </r>
  </si>
  <si>
    <r>
      <t xml:space="preserve">Year of Maintenance </t>
    </r>
    <r>
      <rPr>
        <b/>
        <sz val="10"/>
        <rFont val="Arial"/>
        <family val="2"/>
      </rPr>
      <t>(N)</t>
    </r>
  </si>
  <si>
    <r>
      <t xml:space="preserve">Discount Rate </t>
    </r>
    <r>
      <rPr>
        <b/>
        <sz val="10"/>
        <rFont val="Arial"/>
        <family val="2"/>
      </rPr>
      <t>(I)</t>
    </r>
  </si>
  <si>
    <t>PV of Maintenance</t>
  </si>
  <si>
    <t>Acquisition Cost</t>
  </si>
  <si>
    <t>Total PV of Cash Outflows</t>
  </si>
  <si>
    <r>
      <t xml:space="preserve">Annual Energy Savings </t>
    </r>
    <r>
      <rPr>
        <b/>
        <sz val="10"/>
        <rFont val="Arial"/>
        <family val="2"/>
      </rPr>
      <t>(PMT)</t>
    </r>
  </si>
  <si>
    <r>
      <t xml:space="preserve">Useful Life </t>
    </r>
    <r>
      <rPr>
        <b/>
        <sz val="10"/>
        <rFont val="Arial"/>
        <family val="2"/>
      </rPr>
      <t>(N)</t>
    </r>
  </si>
  <si>
    <t>PV of Power Savings Annuity</t>
  </si>
  <si>
    <t>NPV = PV of Inflows - PV of Outflows</t>
  </si>
  <si>
    <t>Net Present Value</t>
  </si>
  <si>
    <t xml:space="preserve">Question 3 - Snowmaking </t>
  </si>
  <si>
    <r>
      <t xml:space="preserve">Annual Operating Cost </t>
    </r>
    <r>
      <rPr>
        <b/>
        <sz val="10"/>
        <rFont val="Arial"/>
        <family val="2"/>
      </rPr>
      <t>(PMT)</t>
    </r>
  </si>
  <si>
    <r>
      <t xml:space="preserve">Cost of Capital </t>
    </r>
    <r>
      <rPr>
        <b/>
        <sz val="10"/>
        <rFont val="Arial"/>
        <family val="2"/>
      </rPr>
      <t>(I)</t>
    </r>
  </si>
  <si>
    <t>Present Value of Operating Annuity</t>
  </si>
  <si>
    <t>Net Present Cost = PV of the Annuity + Acquisition Cost</t>
  </si>
  <si>
    <r>
      <t xml:space="preserve">Net Present Cost </t>
    </r>
    <r>
      <rPr>
        <b/>
        <sz val="10"/>
        <rFont val="Arial"/>
        <family val="2"/>
      </rPr>
      <t>(PV)</t>
    </r>
  </si>
  <si>
    <t>Annualized Cost</t>
  </si>
  <si>
    <t>Question 4 - Glory Kid's Center Break Even</t>
  </si>
  <si>
    <r>
      <t xml:space="preserve">Per Child daily revenue </t>
    </r>
    <r>
      <rPr>
        <b/>
        <sz val="10"/>
        <rFont val="Arial"/>
        <family val="2"/>
      </rPr>
      <t>(VR)</t>
    </r>
  </si>
  <si>
    <r>
      <t xml:space="preserve">Total Variable Costs </t>
    </r>
    <r>
      <rPr>
        <b/>
        <sz val="10"/>
        <rFont val="Arial"/>
        <family val="2"/>
      </rPr>
      <t>(VC)</t>
    </r>
  </si>
  <si>
    <r>
      <t xml:space="preserve">Contribution Margin </t>
    </r>
    <r>
      <rPr>
        <b/>
        <sz val="10"/>
        <rFont val="Arial"/>
        <family val="2"/>
      </rPr>
      <t>(CM = VR - VC)</t>
    </r>
  </si>
  <si>
    <t>Average Daily Cost for Center Director</t>
  </si>
  <si>
    <t>Child Days</t>
  </si>
  <si>
    <t>Manager</t>
  </si>
  <si>
    <t>Child-Care Workers</t>
  </si>
  <si>
    <t>Total FC</t>
  </si>
  <si>
    <t>CM</t>
  </si>
  <si>
    <t>Break Even</t>
  </si>
  <si>
    <t>Question 5 -  Special Purpose Budget</t>
  </si>
  <si>
    <t>Base Skier Days</t>
  </si>
  <si>
    <t>Expected Volume of Skiers</t>
  </si>
  <si>
    <t>Expected number of Skiers with 3 to 7</t>
  </si>
  <si>
    <t>Number of Child Days</t>
  </si>
  <si>
    <t>Kid's Center Staff including benefits</t>
  </si>
  <si>
    <t>Kid's Center Staff before benefits</t>
  </si>
  <si>
    <t>Special Purpose Budget</t>
  </si>
  <si>
    <t>Child Care Revenue</t>
  </si>
  <si>
    <t xml:space="preserve">     Center Director</t>
  </si>
  <si>
    <t xml:space="preserve">     Child Care Workers</t>
  </si>
  <si>
    <t xml:space="preserve">     Food &amp; Supplies</t>
  </si>
  <si>
    <t>Question 6 - Revised Budget</t>
  </si>
  <si>
    <t>Annual Interest</t>
  </si>
  <si>
    <t>First-Year Wind Turbine Depreciation</t>
  </si>
  <si>
    <t>First-Year Snowmaking Equipment Depreciation</t>
  </si>
  <si>
    <t xml:space="preserve">      Management Salaries</t>
  </si>
  <si>
    <t xml:space="preserve">      Instructors &amp; Ski Patrol</t>
  </si>
  <si>
    <t xml:space="preserve">      Attendants, Maintenance &amp; Grooming</t>
  </si>
  <si>
    <t xml:space="preserve">      Kid's Center Staff </t>
  </si>
  <si>
    <t xml:space="preserve">      Kitchen Staff</t>
  </si>
  <si>
    <t xml:space="preserve">   Kid's Center Food &amp; Supply Costs</t>
  </si>
  <si>
    <t xml:space="preserve">   Depreciation</t>
  </si>
  <si>
    <t xml:space="preserve">   Interest</t>
  </si>
  <si>
    <t>Question 7 - Variance Analysis</t>
  </si>
  <si>
    <t>Column A</t>
  </si>
  <si>
    <t>Column B</t>
  </si>
  <si>
    <t>Column C</t>
  </si>
  <si>
    <t>Column D</t>
  </si>
  <si>
    <t>Column E</t>
  </si>
  <si>
    <t>Actual Numbers Shown in Bold</t>
  </si>
  <si>
    <t>Actual - Change in Price</t>
  </si>
  <si>
    <t>Change in Quantity</t>
  </si>
  <si>
    <t>Change in Volume</t>
  </si>
  <si>
    <t>Budget</t>
  </si>
  <si>
    <r>
      <t xml:space="preserve">Days of Operation - </t>
    </r>
    <r>
      <rPr>
        <b/>
        <sz val="10"/>
        <rFont val="Arial"/>
        <family val="2"/>
      </rPr>
      <t>Volume</t>
    </r>
  </si>
  <si>
    <r>
      <t xml:space="preserve">Average Skiers per Day - </t>
    </r>
    <r>
      <rPr>
        <b/>
        <sz val="10"/>
        <rFont val="Arial"/>
        <family val="2"/>
      </rPr>
      <t>Quantity</t>
    </r>
  </si>
  <si>
    <r>
      <t xml:space="preserve">Average Lift-Ticket Revenue per Skier - </t>
    </r>
    <r>
      <rPr>
        <b/>
        <sz val="10"/>
        <rFont val="Arial"/>
        <family val="2"/>
      </rPr>
      <t>Rate</t>
    </r>
  </si>
  <si>
    <t>Total Lift-Ticket Revenue</t>
  </si>
  <si>
    <t>Total Lift Ticket Revenue =  Volume x Quantity x Rate</t>
  </si>
  <si>
    <t xml:space="preserve">Calculations </t>
  </si>
  <si>
    <t>Total Variance</t>
  </si>
  <si>
    <t>Total E - Total B</t>
  </si>
  <si>
    <t>Volume Variance</t>
  </si>
  <si>
    <t>Total E - Total D</t>
  </si>
  <si>
    <t>Quantity Variance</t>
  </si>
  <si>
    <t>Total D - Total C</t>
  </si>
  <si>
    <t>Price Variance</t>
  </si>
  <si>
    <t>Total C - Total B</t>
  </si>
  <si>
    <t>Sum of flexible Variances</t>
  </si>
  <si>
    <t>BEQ = Total Fixed Cost / (Contribution Margin)</t>
  </si>
  <si>
    <t>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</si>
</sst>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_);_(&quot;$&quot;* \(#,##0.00\);_(&quot;$&quot;* &quot;-&quot;_);_(@_)"/>
    <numFmt numFmtId="165" formatCode="&quot;$&quot;#,##0.00"/>
    <numFmt numFmtId="166" formatCode="&quot;$&quot;#,##0"/>
    <numFmt numFmtId="167" formatCode="_(* #,##0_);_(* \(#,##0\);_(* &quot;-&quot;??_);_(@_)"/>
    <numFmt numFmtId="168" formatCode="0.0%"/>
    <numFmt numFmtId="169" formatCode="&quot;$&quot;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 val="singleAccounting"/>
      <sz val="10"/>
      <name val="Arial"/>
      <family val="2"/>
    </font>
    <font>
      <u/>
      <sz val="10"/>
      <name val="Arial"/>
      <family val="2"/>
    </font>
    <font>
      <u val="doubleAccounting"/>
      <sz val="10"/>
      <name val="Arial"/>
      <family val="2"/>
    </font>
    <font>
      <b/>
      <u val="singleAccounting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9" fontId="0" fillId="0" borderId="0" xfId="0" applyNumberFormat="1"/>
    <xf numFmtId="164" fontId="6" fillId="0" borderId="0" xfId="0" applyNumberFormat="1" applyFont="1"/>
    <xf numFmtId="165" fontId="0" fillId="0" borderId="0" xfId="0" applyNumberFormat="1"/>
    <xf numFmtId="3" fontId="0" fillId="0" borderId="0" xfId="0" applyNumberFormat="1"/>
    <xf numFmtId="42" fontId="6" fillId="0" borderId="0" xfId="0" applyNumberFormat="1" applyFont="1"/>
    <xf numFmtId="9" fontId="0" fillId="0" borderId="0" xfId="2" applyNumberFormat="1" applyFont="1"/>
    <xf numFmtId="44" fontId="0" fillId="0" borderId="0" xfId="2" applyFont="1"/>
    <xf numFmtId="9" fontId="0" fillId="0" borderId="0" xfId="3" applyFont="1"/>
    <xf numFmtId="0" fontId="6" fillId="0" borderId="0" xfId="0" applyFont="1" applyAlignment="1">
      <alignment horizontal="right"/>
    </xf>
    <xf numFmtId="166" fontId="0" fillId="0" borderId="0" xfId="0" applyNumberFormat="1"/>
    <xf numFmtId="167" fontId="0" fillId="0" borderId="0" xfId="1" applyNumberFormat="1" applyFont="1"/>
    <xf numFmtId="43" fontId="0" fillId="0" borderId="0" xfId="1" applyFont="1"/>
    <xf numFmtId="9" fontId="6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7" fontId="7" fillId="0" borderId="0" xfId="1" applyNumberFormat="1" applyFont="1"/>
    <xf numFmtId="42" fontId="7" fillId="0" borderId="0" xfId="0" applyNumberFormat="1" applyFont="1"/>
    <xf numFmtId="166" fontId="8" fillId="0" borderId="0" xfId="0" applyNumberFormat="1" applyFont="1"/>
    <xf numFmtId="42" fontId="9" fillId="0" borderId="0" xfId="0" applyNumberFormat="1" applyFont="1"/>
    <xf numFmtId="168" fontId="0" fillId="0" borderId="0" xfId="3" applyNumberFormat="1" applyFont="1"/>
    <xf numFmtId="6" fontId="0" fillId="0" borderId="0" xfId="0" applyNumberFormat="1"/>
    <xf numFmtId="167" fontId="0" fillId="0" borderId="0" xfId="0" applyNumberFormat="1"/>
    <xf numFmtId="9" fontId="8" fillId="0" borderId="0" xfId="0" applyNumberFormat="1" applyFont="1"/>
    <xf numFmtId="42" fontId="8" fillId="0" borderId="0" xfId="0" applyNumberFormat="1" applyFont="1"/>
    <xf numFmtId="6" fontId="6" fillId="0" borderId="0" xfId="0" applyNumberFormat="1" applyFont="1" applyAlignment="1">
      <alignment horizontal="right" vertical="center" wrapText="1"/>
    </xf>
    <xf numFmtId="0" fontId="0" fillId="0" borderId="0" xfId="0" applyAlignment="1"/>
    <xf numFmtId="1" fontId="0" fillId="0" borderId="0" xfId="0" applyNumberFormat="1"/>
    <xf numFmtId="43" fontId="0" fillId="0" borderId="0" xfId="0" applyNumberFormat="1"/>
    <xf numFmtId="0" fontId="3" fillId="0" borderId="0" xfId="0" applyFont="1" applyAlignment="1">
      <alignment horizontal="center"/>
    </xf>
    <xf numFmtId="166" fontId="6" fillId="0" borderId="0" xfId="0" applyNumberFormat="1" applyFont="1" applyAlignment="1">
      <alignment horizontal="right"/>
    </xf>
    <xf numFmtId="169" fontId="0" fillId="0" borderId="0" xfId="0" applyNumberFormat="1"/>
    <xf numFmtId="4" fontId="0" fillId="0" borderId="0" xfId="0" applyNumberFormat="1"/>
    <xf numFmtId="41" fontId="8" fillId="0" borderId="0" xfId="0" applyNumberFormat="1" applyFont="1"/>
    <xf numFmtId="166" fontId="5" fillId="0" borderId="0" xfId="0" applyNumberFormat="1" applyFont="1" applyAlignment="1">
      <alignment horizontal="center"/>
    </xf>
    <xf numFmtId="0" fontId="5" fillId="0" borderId="0" xfId="0" applyFont="1"/>
    <xf numFmtId="167" fontId="5" fillId="0" borderId="0" xfId="1" applyNumberFormat="1" applyFont="1"/>
    <xf numFmtId="164" fontId="5" fillId="0" borderId="0" xfId="0" applyNumberFormat="1" applyFont="1"/>
    <xf numFmtId="42" fontId="10" fillId="0" borderId="0" xfId="0" applyNumberFormat="1" applyFont="1"/>
    <xf numFmtId="41" fontId="6" fillId="0" borderId="0" xfId="0" applyNumberFormat="1" applyFont="1"/>
    <xf numFmtId="41" fontId="7" fillId="0" borderId="0" xfId="0" applyNumberFormat="1" applyFont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8"/>
  <sheetViews>
    <sheetView tabSelected="1" workbookViewId="0">
      <selection activeCell="A2" sqref="A2"/>
    </sheetView>
  </sheetViews>
  <sheetFormatPr baseColWidth="10" defaultColWidth="8.83203125" defaultRowHeight="14" x14ac:dyDescent="0"/>
  <cols>
    <col min="2" max="2" width="42.5" customWidth="1"/>
    <col min="3" max="3" width="12.1640625" customWidth="1"/>
    <col min="4" max="4" width="13.83203125" customWidth="1"/>
    <col min="5" max="5" width="12.5" customWidth="1"/>
    <col min="6" max="6" width="12.33203125" customWidth="1"/>
    <col min="7" max="7" width="9.1640625" customWidth="1"/>
  </cols>
  <sheetData>
    <row r="1" spans="1:10" ht="18">
      <c r="A1" s="48" t="s">
        <v>0</v>
      </c>
      <c r="B1" s="48"/>
      <c r="C1" s="48"/>
      <c r="D1" s="48"/>
      <c r="E1" s="49"/>
      <c r="F1" s="49"/>
      <c r="G1" s="49"/>
      <c r="H1" s="49"/>
    </row>
    <row r="2" spans="1:10" ht="18">
      <c r="A2" s="1"/>
      <c r="B2" s="1"/>
      <c r="C2" s="1"/>
      <c r="D2" s="1"/>
      <c r="E2" s="30"/>
      <c r="F2" s="30"/>
      <c r="G2" s="30"/>
      <c r="H2" s="30"/>
    </row>
    <row r="3" spans="1:10" ht="18">
      <c r="A3" s="45" t="s">
        <v>177</v>
      </c>
      <c r="B3" s="1"/>
      <c r="C3" s="1"/>
      <c r="D3" s="1"/>
      <c r="E3" s="30"/>
      <c r="F3" s="30"/>
      <c r="G3" s="30"/>
      <c r="H3" s="30"/>
    </row>
    <row r="4" spans="1:10" ht="17">
      <c r="A4" s="46"/>
      <c r="B4" s="46"/>
      <c r="C4" s="2"/>
      <c r="D4" s="2"/>
    </row>
    <row r="5" spans="1:10" ht="24">
      <c r="A5" s="47" t="s">
        <v>1</v>
      </c>
      <c r="B5" s="47"/>
      <c r="C5" s="3" t="s">
        <v>2</v>
      </c>
      <c r="D5" s="3" t="s">
        <v>3</v>
      </c>
      <c r="E5" s="3"/>
      <c r="F5" s="3"/>
      <c r="G5" s="3"/>
      <c r="H5" s="3"/>
      <c r="I5" s="3"/>
      <c r="J5" s="3"/>
    </row>
    <row r="6" spans="1:10">
      <c r="A6" s="46" t="s">
        <v>4</v>
      </c>
      <c r="B6" s="46"/>
      <c r="C6" s="4">
        <v>0.45</v>
      </c>
      <c r="D6" s="5">
        <v>60</v>
      </c>
      <c r="F6" s="6"/>
    </row>
    <row r="7" spans="1:10">
      <c r="A7" s="46" t="s">
        <v>5</v>
      </c>
      <c r="B7" s="46"/>
      <c r="C7" s="4">
        <f>1-C6</f>
        <v>0.55000000000000004</v>
      </c>
      <c r="D7" s="5">
        <v>45</v>
      </c>
      <c r="F7" s="6"/>
    </row>
    <row r="8" spans="1:10">
      <c r="A8" s="46" t="s">
        <v>6</v>
      </c>
      <c r="B8" s="46"/>
      <c r="C8" s="4">
        <v>0.1</v>
      </c>
      <c r="D8" s="5">
        <v>80</v>
      </c>
      <c r="F8" s="6"/>
    </row>
    <row r="9" spans="1:10">
      <c r="A9" s="46" t="s">
        <v>7</v>
      </c>
      <c r="B9" s="46"/>
      <c r="C9">
        <v>130</v>
      </c>
    </row>
    <row r="10" spans="1:10">
      <c r="A10" s="46" t="s">
        <v>8</v>
      </c>
      <c r="B10" s="46"/>
      <c r="C10" s="7">
        <v>292500</v>
      </c>
    </row>
    <row r="11" spans="1:10">
      <c r="A11" s="46" t="s">
        <v>9</v>
      </c>
      <c r="B11" s="46"/>
      <c r="C11" s="8">
        <v>2000000</v>
      </c>
    </row>
    <row r="12" spans="1:10">
      <c r="A12" s="46" t="s">
        <v>10</v>
      </c>
      <c r="B12" s="46"/>
      <c r="C12" s="5">
        <v>4</v>
      </c>
    </row>
    <row r="13" spans="1:10">
      <c r="A13" s="46" t="s">
        <v>11</v>
      </c>
      <c r="B13" s="46"/>
      <c r="C13" s="4">
        <v>0.4</v>
      </c>
    </row>
    <row r="14" spans="1:10">
      <c r="A14" s="46" t="s">
        <v>12</v>
      </c>
      <c r="B14" s="46"/>
      <c r="C14" s="8">
        <v>1800000</v>
      </c>
    </row>
    <row r="15" spans="1:10">
      <c r="A15" s="46" t="s">
        <v>13</v>
      </c>
      <c r="B15" s="46"/>
      <c r="C15" s="4">
        <v>0.3</v>
      </c>
    </row>
    <row r="16" spans="1:10">
      <c r="A16" s="46" t="s">
        <v>14</v>
      </c>
      <c r="B16" s="46"/>
      <c r="C16" s="8">
        <v>2240000</v>
      </c>
    </row>
    <row r="17" spans="1:6">
      <c r="A17" s="46" t="s">
        <v>15</v>
      </c>
      <c r="B17" s="46"/>
      <c r="C17" s="8">
        <v>15000</v>
      </c>
    </row>
    <row r="18" spans="1:6">
      <c r="A18" s="46" t="s">
        <v>16</v>
      </c>
      <c r="B18" s="46"/>
      <c r="C18" s="9">
        <v>-0.05</v>
      </c>
      <c r="D18" s="10"/>
    </row>
    <row r="19" spans="1:6">
      <c r="A19" s="46" t="s">
        <v>17</v>
      </c>
      <c r="B19" s="46"/>
      <c r="C19" s="11">
        <v>0.08</v>
      </c>
      <c r="D19" s="10"/>
    </row>
    <row r="20" spans="1:6">
      <c r="A20" s="46"/>
      <c r="B20" s="46"/>
      <c r="C20" s="11"/>
      <c r="D20" s="10"/>
    </row>
    <row r="21" spans="1:6" ht="24">
      <c r="A21" s="51"/>
      <c r="B21" s="51"/>
      <c r="C21" s="3" t="s">
        <v>18</v>
      </c>
      <c r="D21" s="3" t="s">
        <v>19</v>
      </c>
      <c r="E21" s="3" t="s">
        <v>20</v>
      </c>
      <c r="F21" s="3" t="s">
        <v>21</v>
      </c>
    </row>
    <row r="22" spans="1:6">
      <c r="A22" s="46" t="s">
        <v>22</v>
      </c>
      <c r="B22" s="46"/>
      <c r="C22">
        <v>275</v>
      </c>
      <c r="D22">
        <v>100</v>
      </c>
      <c r="E22">
        <v>7</v>
      </c>
      <c r="F22" s="5">
        <v>20</v>
      </c>
    </row>
    <row r="23" spans="1:6">
      <c r="A23" s="46" t="s">
        <v>23</v>
      </c>
      <c r="B23" s="46"/>
      <c r="C23">
        <v>140</v>
      </c>
      <c r="D23">
        <v>130</v>
      </c>
      <c r="E23">
        <v>10</v>
      </c>
      <c r="F23" s="5">
        <v>18</v>
      </c>
    </row>
    <row r="24" spans="1:6">
      <c r="A24" s="46" t="s">
        <v>24</v>
      </c>
      <c r="B24" s="46"/>
      <c r="C24">
        <v>50</v>
      </c>
      <c r="D24">
        <v>130</v>
      </c>
      <c r="E24">
        <v>8</v>
      </c>
      <c r="F24" s="5">
        <v>12</v>
      </c>
    </row>
    <row r="25" spans="1:6">
      <c r="A25" s="46" t="s">
        <v>25</v>
      </c>
      <c r="B25" s="46"/>
      <c r="C25">
        <v>60</v>
      </c>
      <c r="D25" s="12">
        <v>130</v>
      </c>
      <c r="E25">
        <v>6</v>
      </c>
      <c r="F25" s="5">
        <v>65</v>
      </c>
    </row>
    <row r="26" spans="1:6">
      <c r="A26" s="46"/>
      <c r="B26" s="46"/>
      <c r="C26" s="11"/>
      <c r="D26" s="10"/>
    </row>
    <row r="27" spans="1:6">
      <c r="A27" s="50" t="s">
        <v>26</v>
      </c>
      <c r="B27" s="50"/>
      <c r="C27" s="13"/>
      <c r="D27" s="10"/>
    </row>
    <row r="28" spans="1:6">
      <c r="A28" s="46" t="s">
        <v>27</v>
      </c>
      <c r="B28" s="46"/>
      <c r="C28" s="8">
        <v>4100000</v>
      </c>
      <c r="D28" s="10"/>
    </row>
    <row r="29" spans="1:6">
      <c r="A29" s="46" t="s">
        <v>28</v>
      </c>
      <c r="B29" s="46"/>
      <c r="C29" s="8">
        <v>750000</v>
      </c>
      <c r="D29" s="10"/>
    </row>
    <row r="30" spans="1:6">
      <c r="A30" s="46" t="s">
        <v>29</v>
      </c>
      <c r="B30" s="46"/>
      <c r="C30" s="14">
        <v>7</v>
      </c>
      <c r="D30" s="10"/>
    </row>
    <row r="31" spans="1:6">
      <c r="A31" s="46" t="s">
        <v>30</v>
      </c>
      <c r="B31" s="46"/>
      <c r="C31" s="8">
        <v>560000</v>
      </c>
      <c r="D31" s="10"/>
    </row>
    <row r="32" spans="1:6">
      <c r="A32" s="46" t="s">
        <v>31</v>
      </c>
      <c r="B32" s="46"/>
      <c r="C32" s="14">
        <v>15</v>
      </c>
      <c r="D32" s="10"/>
    </row>
    <row r="33" spans="1:4">
      <c r="A33" s="46" t="s">
        <v>32</v>
      </c>
      <c r="B33" s="46"/>
      <c r="C33" s="14">
        <v>10</v>
      </c>
      <c r="D33" s="10"/>
    </row>
    <row r="34" spans="1:4">
      <c r="A34" s="49"/>
      <c r="B34" s="49"/>
      <c r="D34" s="10"/>
    </row>
    <row r="35" spans="1:4">
      <c r="A35" s="52" t="s">
        <v>33</v>
      </c>
      <c r="B35" s="52"/>
      <c r="C35" s="3" t="s">
        <v>34</v>
      </c>
      <c r="D35" s="3" t="s">
        <v>35</v>
      </c>
    </row>
    <row r="36" spans="1:4">
      <c r="A36" s="46" t="s">
        <v>36</v>
      </c>
      <c r="B36" s="46"/>
      <c r="C36" s="8">
        <v>850000</v>
      </c>
      <c r="D36" s="8">
        <v>600000</v>
      </c>
    </row>
    <row r="37" spans="1:4">
      <c r="A37" s="46" t="s">
        <v>37</v>
      </c>
      <c r="B37" s="46"/>
      <c r="C37" s="8">
        <v>35000</v>
      </c>
      <c r="D37" s="8">
        <v>50000</v>
      </c>
    </row>
    <row r="38" spans="1:4">
      <c r="A38" s="46" t="s">
        <v>38</v>
      </c>
      <c r="B38" s="46"/>
      <c r="C38" s="14">
        <v>15</v>
      </c>
      <c r="D38" s="14">
        <v>10</v>
      </c>
    </row>
    <row r="39" spans="1:4">
      <c r="A39" s="46" t="s">
        <v>32</v>
      </c>
      <c r="B39" s="46"/>
      <c r="C39" s="14">
        <v>10</v>
      </c>
      <c r="D39" s="14">
        <v>10</v>
      </c>
    </row>
    <row r="40" spans="1:4">
      <c r="A40" s="46" t="s">
        <v>39</v>
      </c>
      <c r="B40" s="46"/>
      <c r="C40" s="11">
        <v>0.05</v>
      </c>
      <c r="D40" s="11">
        <v>0.05</v>
      </c>
    </row>
    <row r="41" spans="1:4">
      <c r="A41" s="49"/>
      <c r="B41" s="49"/>
      <c r="C41" s="9"/>
      <c r="D41" s="10"/>
    </row>
    <row r="42" spans="1:4">
      <c r="A42" s="50" t="s">
        <v>40</v>
      </c>
      <c r="B42" s="50"/>
      <c r="D42" s="10"/>
    </row>
    <row r="43" spans="1:4">
      <c r="A43" s="49" t="s">
        <v>41</v>
      </c>
      <c r="B43" s="49"/>
      <c r="C43" s="8">
        <v>60000</v>
      </c>
      <c r="D43" s="10"/>
    </row>
    <row r="44" spans="1:4">
      <c r="A44" s="49" t="s">
        <v>42</v>
      </c>
      <c r="B44" s="49"/>
      <c r="C44" s="8">
        <f>C43*C15</f>
        <v>18000</v>
      </c>
      <c r="D44" s="10"/>
    </row>
    <row r="45" spans="1:4">
      <c r="A45" s="49" t="s">
        <v>43</v>
      </c>
      <c r="B45" s="49"/>
      <c r="C45" s="8">
        <f>C43+C44</f>
        <v>78000</v>
      </c>
      <c r="D45" s="10"/>
    </row>
    <row r="46" spans="1:4">
      <c r="A46" s="49" t="s">
        <v>44</v>
      </c>
      <c r="B46" s="49"/>
      <c r="C46">
        <v>8</v>
      </c>
      <c r="D46" s="10"/>
    </row>
    <row r="47" spans="1:4">
      <c r="A47" s="49" t="s">
        <v>45</v>
      </c>
      <c r="B47" s="49"/>
      <c r="C47" s="5">
        <v>25</v>
      </c>
      <c r="D47" s="10"/>
    </row>
    <row r="48" spans="1:4">
      <c r="A48" s="49" t="s">
        <v>46</v>
      </c>
      <c r="B48" s="49"/>
      <c r="C48">
        <v>10</v>
      </c>
      <c r="D48" s="10"/>
    </row>
    <row r="49" spans="1:10">
      <c r="A49" s="49" t="s">
        <v>47</v>
      </c>
      <c r="B49" s="49"/>
      <c r="C49" s="5">
        <v>70</v>
      </c>
      <c r="D49" s="10"/>
    </row>
    <row r="50" spans="1:10">
      <c r="A50" s="49" t="s">
        <v>48</v>
      </c>
      <c r="B50" s="49"/>
      <c r="C50" s="13"/>
      <c r="D50" s="10"/>
    </row>
    <row r="51" spans="1:10">
      <c r="A51" s="49" t="s">
        <v>49</v>
      </c>
      <c r="B51" s="49"/>
      <c r="C51" s="5">
        <v>10</v>
      </c>
      <c r="D51" s="10"/>
    </row>
    <row r="52" spans="1:10">
      <c r="A52" s="49" t="s">
        <v>50</v>
      </c>
      <c r="B52" s="49"/>
      <c r="C52" s="5">
        <v>10</v>
      </c>
      <c r="D52" s="10"/>
    </row>
    <row r="53" spans="1:10">
      <c r="A53" s="49" t="s">
        <v>51</v>
      </c>
      <c r="B53" s="49"/>
      <c r="C53" s="4">
        <v>0.06</v>
      </c>
      <c r="D53" s="10"/>
    </row>
    <row r="54" spans="1:10">
      <c r="A54" s="49" t="s">
        <v>52</v>
      </c>
      <c r="B54" s="49"/>
      <c r="C54" s="4">
        <v>0.1</v>
      </c>
      <c r="D54" s="10"/>
    </row>
    <row r="55" spans="1:10">
      <c r="A55" s="49" t="s">
        <v>53</v>
      </c>
      <c r="B55" s="49"/>
      <c r="C55" s="15">
        <v>0.25</v>
      </c>
      <c r="D55" s="10"/>
    </row>
    <row r="56" spans="1:10">
      <c r="A56" s="49" t="s">
        <v>54</v>
      </c>
      <c r="B56" s="49"/>
      <c r="C56">
        <v>6</v>
      </c>
      <c r="D56" s="10"/>
    </row>
    <row r="57" spans="1:10">
      <c r="A57" s="49"/>
      <c r="B57" s="49"/>
      <c r="C57" s="9"/>
      <c r="D57" s="10"/>
    </row>
    <row r="58" spans="1:10">
      <c r="A58" s="50" t="s">
        <v>55</v>
      </c>
      <c r="B58" s="50"/>
    </row>
    <row r="59" spans="1:10">
      <c r="A59" s="54" t="s">
        <v>56</v>
      </c>
      <c r="B59" s="54"/>
      <c r="C59" s="8">
        <v>6000000</v>
      </c>
      <c r="D59" s="3"/>
      <c r="E59" s="3"/>
      <c r="F59" s="3"/>
      <c r="G59" s="3"/>
      <c r="H59" s="3"/>
      <c r="I59" s="3"/>
      <c r="J59" s="3"/>
    </row>
    <row r="60" spans="1:10">
      <c r="A60" s="54" t="s">
        <v>57</v>
      </c>
      <c r="B60" s="54"/>
      <c r="C60" s="16">
        <v>0.05</v>
      </c>
      <c r="G60" s="13"/>
    </row>
    <row r="61" spans="1:10">
      <c r="A61" s="49"/>
      <c r="B61" s="49"/>
      <c r="C61" s="16"/>
      <c r="G61" s="13"/>
    </row>
    <row r="62" spans="1:10">
      <c r="A62" s="50" t="s">
        <v>58</v>
      </c>
      <c r="B62" s="50"/>
      <c r="C62" s="17" t="s">
        <v>59</v>
      </c>
      <c r="G62" s="13"/>
    </row>
    <row r="63" spans="1:10">
      <c r="A63" s="49" t="s">
        <v>60</v>
      </c>
      <c r="B63" s="49"/>
      <c r="C63" s="18">
        <v>115</v>
      </c>
      <c r="G63" s="13"/>
    </row>
    <row r="64" spans="1:10">
      <c r="A64" s="49" t="s">
        <v>61</v>
      </c>
      <c r="B64" s="49"/>
      <c r="C64" s="14">
        <v>2600</v>
      </c>
      <c r="G64" s="13"/>
    </row>
    <row r="65" spans="1:10">
      <c r="A65" s="49" t="s">
        <v>62</v>
      </c>
      <c r="B65" s="49"/>
      <c r="C65" s="5">
        <v>50.5</v>
      </c>
      <c r="G65" s="13"/>
    </row>
    <row r="66" spans="1:10">
      <c r="A66" s="49"/>
      <c r="B66" s="49"/>
      <c r="G66" s="13"/>
    </row>
    <row r="67" spans="1:10">
      <c r="A67" s="46"/>
      <c r="B67" s="46"/>
    </row>
    <row r="68" spans="1:10" ht="17">
      <c r="A68" s="53" t="s">
        <v>63</v>
      </c>
      <c r="B68" s="53"/>
      <c r="C68" s="53"/>
      <c r="D68" s="53"/>
    </row>
    <row r="69" spans="1:10" ht="24">
      <c r="A69" s="52"/>
      <c r="B69" s="52"/>
      <c r="C69" s="3" t="s">
        <v>64</v>
      </c>
      <c r="D69" s="3" t="s">
        <v>65</v>
      </c>
      <c r="E69" s="3" t="s">
        <v>66</v>
      </c>
      <c r="F69" s="3"/>
      <c r="G69" s="3"/>
      <c r="H69" s="3"/>
      <c r="I69" s="3"/>
      <c r="J69" s="3"/>
    </row>
    <row r="70" spans="1:10">
      <c r="A70" s="49" t="s">
        <v>67</v>
      </c>
      <c r="B70" s="49"/>
      <c r="C70" s="3"/>
      <c r="D70" s="3"/>
      <c r="E70" s="3"/>
      <c r="F70" s="3"/>
      <c r="G70" s="3"/>
      <c r="H70" s="3"/>
      <c r="I70" s="3"/>
      <c r="J70" s="3"/>
    </row>
    <row r="71" spans="1:10">
      <c r="A71" s="49" t="s">
        <v>68</v>
      </c>
      <c r="B71" s="49"/>
    </row>
    <row r="72" spans="1:10">
      <c r="A72" s="49" t="s">
        <v>69</v>
      </c>
      <c r="B72" s="49"/>
      <c r="C72" s="8">
        <f>C6*C10*D6</f>
        <v>7897500</v>
      </c>
      <c r="D72" s="8">
        <f>(1+$C$18)*C72</f>
        <v>7502625</v>
      </c>
      <c r="E72" s="19" t="s">
        <v>70</v>
      </c>
    </row>
    <row r="73" spans="1:10">
      <c r="A73" s="49" t="s">
        <v>71</v>
      </c>
      <c r="B73" s="49"/>
      <c r="C73" s="14">
        <f>C7*C10*D7</f>
        <v>7239375</v>
      </c>
      <c r="D73" s="14">
        <f>(1+$C$18)*C73</f>
        <v>6877406.25</v>
      </c>
      <c r="E73" s="19" t="s">
        <v>70</v>
      </c>
    </row>
    <row r="74" spans="1:10">
      <c r="A74" s="49" t="s">
        <v>72</v>
      </c>
      <c r="B74" s="49"/>
      <c r="C74" s="14">
        <f>C8*C10*D8</f>
        <v>2340000</v>
      </c>
      <c r="D74" s="14">
        <f>(1+$C$18)*C74</f>
        <v>2223000</v>
      </c>
      <c r="E74" s="19" t="s">
        <v>70</v>
      </c>
    </row>
    <row r="75" spans="1:10">
      <c r="A75" s="49" t="s">
        <v>73</v>
      </c>
      <c r="B75" s="49"/>
      <c r="C75" s="14">
        <f>C10*C12</f>
        <v>1170000</v>
      </c>
      <c r="D75" s="14">
        <f>(1+$C$18)*C75</f>
        <v>1111500</v>
      </c>
      <c r="E75" s="19" t="s">
        <v>70</v>
      </c>
    </row>
    <row r="76" spans="1:10" ht="16">
      <c r="A76" s="49" t="s">
        <v>74</v>
      </c>
      <c r="B76" s="49"/>
      <c r="C76" s="20">
        <f>C11</f>
        <v>2000000</v>
      </c>
      <c r="D76" s="20">
        <f>+C76</f>
        <v>2000000</v>
      </c>
      <c r="E76" s="19" t="s">
        <v>75</v>
      </c>
    </row>
    <row r="77" spans="1:10" ht="16">
      <c r="A77" s="49" t="s">
        <v>76</v>
      </c>
      <c r="B77" s="49"/>
      <c r="C77" s="21">
        <f>SUM(C72:C76)</f>
        <v>20646875</v>
      </c>
      <c r="D77" s="21">
        <f>SUM(D72:D76)</f>
        <v>19714531.25</v>
      </c>
      <c r="E77" s="19"/>
    </row>
    <row r="78" spans="1:10">
      <c r="A78" s="49"/>
      <c r="B78" s="49"/>
      <c r="C78" s="13"/>
      <c r="D78" s="13"/>
      <c r="E78" s="19"/>
    </row>
    <row r="79" spans="1:10">
      <c r="A79" s="49" t="s">
        <v>77</v>
      </c>
      <c r="B79" s="49"/>
      <c r="C79" s="13"/>
      <c r="D79" s="13"/>
      <c r="E79" s="19"/>
    </row>
    <row r="80" spans="1:10">
      <c r="A80" s="49" t="s">
        <v>78</v>
      </c>
      <c r="B80" s="49"/>
      <c r="C80" s="13"/>
      <c r="D80" s="13"/>
      <c r="E80" s="19"/>
    </row>
    <row r="81" spans="1:5">
      <c r="A81" s="49" t="s">
        <v>79</v>
      </c>
      <c r="B81" s="49"/>
      <c r="C81" s="8">
        <f>C14</f>
        <v>1800000</v>
      </c>
      <c r="D81" s="8">
        <f>+C81</f>
        <v>1800000</v>
      </c>
      <c r="E81" s="19" t="s">
        <v>75</v>
      </c>
    </row>
    <row r="82" spans="1:5">
      <c r="A82" s="49" t="s">
        <v>80</v>
      </c>
      <c r="B82" s="49"/>
      <c r="C82" s="14">
        <f>C22*D22*E22*F22</f>
        <v>3850000</v>
      </c>
      <c r="D82" s="14">
        <f>(1+$C$18)*C82</f>
        <v>3657500</v>
      </c>
      <c r="E82" s="19" t="s">
        <v>70</v>
      </c>
    </row>
    <row r="83" spans="1:5">
      <c r="A83" s="49" t="s">
        <v>81</v>
      </c>
      <c r="B83" s="49"/>
      <c r="C83" s="14">
        <f>C23*D23*E23*F23</f>
        <v>3276000</v>
      </c>
      <c r="D83" s="14">
        <f>C83</f>
        <v>3276000</v>
      </c>
      <c r="E83" s="19" t="s">
        <v>75</v>
      </c>
    </row>
    <row r="84" spans="1:5">
      <c r="A84" s="49" t="s">
        <v>82</v>
      </c>
      <c r="B84" s="49"/>
      <c r="C84" s="14">
        <f>C24*D24*E24*F24</f>
        <v>624000</v>
      </c>
      <c r="D84" s="14">
        <f>C84</f>
        <v>624000</v>
      </c>
      <c r="E84" s="19" t="s">
        <v>75</v>
      </c>
    </row>
    <row r="85" spans="1:5">
      <c r="A85" s="49" t="s">
        <v>83</v>
      </c>
      <c r="B85" s="49"/>
      <c r="C85" s="14">
        <f>SUM(C81:C84)</f>
        <v>9550000</v>
      </c>
      <c r="D85" s="14">
        <f>SUM(D81:D84)</f>
        <v>9357500</v>
      </c>
      <c r="E85" s="19"/>
    </row>
    <row r="86" spans="1:5" ht="16">
      <c r="A86" s="49" t="s">
        <v>84</v>
      </c>
      <c r="B86" s="49"/>
      <c r="C86" s="20">
        <f>$C$15*C85</f>
        <v>2865000</v>
      </c>
      <c r="D86" s="20">
        <f>$C$15*D85</f>
        <v>2807250</v>
      </c>
      <c r="E86" s="19" t="s">
        <v>85</v>
      </c>
    </row>
    <row r="87" spans="1:5" ht="16">
      <c r="A87" s="49" t="s">
        <v>86</v>
      </c>
      <c r="B87" s="49"/>
      <c r="C87" s="21">
        <f>C86+C85</f>
        <v>12415000</v>
      </c>
      <c r="D87" s="21">
        <f>D86+D85</f>
        <v>12164750</v>
      </c>
      <c r="E87" s="19"/>
    </row>
    <row r="88" spans="1:5">
      <c r="A88" s="49"/>
      <c r="B88" s="49"/>
      <c r="C88" s="13"/>
      <c r="D88" s="13"/>
      <c r="E88" s="19"/>
    </row>
    <row r="89" spans="1:5">
      <c r="A89" s="49" t="s">
        <v>87</v>
      </c>
      <c r="B89" s="49"/>
      <c r="C89" s="13"/>
      <c r="D89" s="13"/>
      <c r="E89" s="19"/>
    </row>
    <row r="90" spans="1:5">
      <c r="A90" s="49" t="s">
        <v>88</v>
      </c>
      <c r="B90" s="49"/>
      <c r="C90" s="8">
        <f>C25*D25*E25*F25</f>
        <v>3042000</v>
      </c>
      <c r="D90" s="8">
        <f>C90</f>
        <v>3042000</v>
      </c>
      <c r="E90" s="19" t="s">
        <v>75</v>
      </c>
    </row>
    <row r="91" spans="1:5">
      <c r="A91" s="49" t="s">
        <v>89</v>
      </c>
      <c r="B91" s="49"/>
      <c r="C91" s="14">
        <f>C16</f>
        <v>2240000</v>
      </c>
      <c r="D91" s="14">
        <f>C91</f>
        <v>2240000</v>
      </c>
      <c r="E91" s="19" t="s">
        <v>75</v>
      </c>
    </row>
    <row r="92" spans="1:5">
      <c r="A92" s="49" t="s">
        <v>90</v>
      </c>
      <c r="B92" s="49"/>
      <c r="C92" s="14">
        <f>C17*C9</f>
        <v>1950000</v>
      </c>
      <c r="D92" s="14">
        <f>C92</f>
        <v>1950000</v>
      </c>
      <c r="E92" s="19" t="s">
        <v>75</v>
      </c>
    </row>
    <row r="93" spans="1:5" ht="16">
      <c r="A93" s="49" t="s">
        <v>91</v>
      </c>
      <c r="B93" s="49"/>
      <c r="C93" s="20">
        <f>C75*$C$13</f>
        <v>468000</v>
      </c>
      <c r="D93" s="20">
        <f>(1+$C$18)*C93</f>
        <v>444600</v>
      </c>
      <c r="E93" s="19" t="s">
        <v>70</v>
      </c>
    </row>
    <row r="94" spans="1:5">
      <c r="A94" s="49" t="s">
        <v>92</v>
      </c>
      <c r="B94" s="49"/>
      <c r="C94" s="22">
        <f>SUM(C90:C93)</f>
        <v>7700000</v>
      </c>
      <c r="D94" s="22">
        <f>SUM(D90:D93)</f>
        <v>7676600</v>
      </c>
      <c r="E94" s="19"/>
    </row>
    <row r="95" spans="1:5">
      <c r="A95" s="49"/>
      <c r="B95" s="49"/>
      <c r="C95" s="13"/>
      <c r="D95" s="13"/>
      <c r="E95" s="19"/>
    </row>
    <row r="96" spans="1:5" ht="16">
      <c r="A96" s="49" t="s">
        <v>93</v>
      </c>
      <c r="B96" s="49"/>
      <c r="C96" s="21">
        <f>SUM(C90:C93)+C87</f>
        <v>20115000</v>
      </c>
      <c r="D96" s="21">
        <f>SUM(D90:D93)+D87</f>
        <v>19841350</v>
      </c>
      <c r="E96" s="19"/>
    </row>
    <row r="97" spans="1:5">
      <c r="A97" s="49"/>
      <c r="B97" s="49"/>
      <c r="C97" s="13"/>
      <c r="D97" s="13"/>
      <c r="E97" s="19"/>
    </row>
    <row r="98" spans="1:5" ht="16">
      <c r="A98" s="49" t="s">
        <v>94</v>
      </c>
      <c r="B98" s="49"/>
      <c r="C98" s="23">
        <f>C77-C96</f>
        <v>531875</v>
      </c>
      <c r="D98" s="23">
        <f>D77-D96</f>
        <v>-126818.75</v>
      </c>
      <c r="E98" s="19"/>
    </row>
    <row r="99" spans="1:5">
      <c r="A99" s="49"/>
      <c r="B99" s="49"/>
      <c r="C99" s="13"/>
      <c r="D99" s="13"/>
      <c r="E99" s="19"/>
    </row>
    <row r="100" spans="1:5" ht="17">
      <c r="A100" s="53" t="s">
        <v>95</v>
      </c>
      <c r="B100" s="53"/>
      <c r="C100" s="53"/>
      <c r="D100" s="53"/>
      <c r="E100" s="19"/>
    </row>
    <row r="101" spans="1:5">
      <c r="A101" s="50" t="s">
        <v>96</v>
      </c>
      <c r="B101" s="50"/>
      <c r="C101" s="13"/>
      <c r="D101" s="13"/>
      <c r="E101" s="19"/>
    </row>
    <row r="102" spans="1:5">
      <c r="A102" s="49"/>
      <c r="B102" s="49"/>
      <c r="D102" s="13"/>
      <c r="E102" s="19"/>
    </row>
    <row r="103" spans="1:5">
      <c r="A103" s="49" t="s">
        <v>97</v>
      </c>
      <c r="B103" s="49"/>
      <c r="C103" s="8">
        <f>C29</f>
        <v>750000</v>
      </c>
      <c r="D103" s="13"/>
      <c r="E103" s="19"/>
    </row>
    <row r="104" spans="1:5">
      <c r="A104" s="49" t="s">
        <v>98</v>
      </c>
      <c r="B104" s="49"/>
      <c r="C104" s="14">
        <f>C30</f>
        <v>7</v>
      </c>
      <c r="D104" s="13"/>
      <c r="E104" s="19"/>
    </row>
    <row r="105" spans="1:5">
      <c r="A105" s="49" t="s">
        <v>99</v>
      </c>
      <c r="B105" s="49"/>
      <c r="C105" s="24">
        <f>C19</f>
        <v>0.08</v>
      </c>
      <c r="D105" s="13"/>
      <c r="E105" s="19"/>
    </row>
    <row r="106" spans="1:5">
      <c r="A106" s="49" t="s">
        <v>100</v>
      </c>
      <c r="B106" s="49"/>
      <c r="C106" s="8">
        <f>PV(C105,C104,,C103,)</f>
        <v>-437617.79644660035</v>
      </c>
      <c r="E106" s="19"/>
    </row>
    <row r="107" spans="1:5" ht="16">
      <c r="A107" s="49" t="s">
        <v>101</v>
      </c>
      <c r="B107" s="49"/>
      <c r="C107" s="21">
        <f>-C28</f>
        <v>-4100000</v>
      </c>
      <c r="E107" s="19"/>
    </row>
    <row r="108" spans="1:5" ht="16">
      <c r="A108" s="49" t="s">
        <v>102</v>
      </c>
      <c r="B108" s="49"/>
      <c r="C108" s="21">
        <f>C106+C107</f>
        <v>-4537617.7964466</v>
      </c>
      <c r="E108" s="19"/>
    </row>
    <row r="109" spans="1:5">
      <c r="A109" s="49"/>
      <c r="B109" s="49"/>
      <c r="C109" s="25"/>
      <c r="E109" s="19"/>
    </row>
    <row r="110" spans="1:5">
      <c r="A110" s="49" t="s">
        <v>103</v>
      </c>
      <c r="B110" s="49"/>
      <c r="C110" s="8">
        <f>C31</f>
        <v>560000</v>
      </c>
      <c r="E110" s="19"/>
    </row>
    <row r="111" spans="1:5">
      <c r="A111" s="49" t="s">
        <v>104</v>
      </c>
      <c r="B111" s="49"/>
      <c r="C111" s="26">
        <f>C32</f>
        <v>15</v>
      </c>
      <c r="E111" s="19"/>
    </row>
    <row r="112" spans="1:5">
      <c r="A112" s="49" t="s">
        <v>99</v>
      </c>
      <c r="B112" s="49"/>
      <c r="C112" s="27">
        <f>C19</f>
        <v>0.08</v>
      </c>
      <c r="E112" s="19"/>
    </row>
    <row r="113" spans="1:10">
      <c r="A113" s="49" t="s">
        <v>105</v>
      </c>
      <c r="B113" s="49"/>
      <c r="C113" s="28">
        <f>-PV(C112,C111,C110,,)</f>
        <v>4793308.0652387701</v>
      </c>
      <c r="E113" s="19"/>
    </row>
    <row r="114" spans="1:10">
      <c r="A114" s="49"/>
      <c r="B114" s="49"/>
      <c r="C114" s="25"/>
      <c r="E114" s="19"/>
    </row>
    <row r="115" spans="1:10">
      <c r="A115" s="50" t="s">
        <v>106</v>
      </c>
      <c r="B115" s="50"/>
      <c r="E115" s="19"/>
    </row>
    <row r="116" spans="1:10" ht="16">
      <c r="A116" s="49" t="s">
        <v>107</v>
      </c>
      <c r="B116" s="49"/>
      <c r="C116" s="23">
        <f>+C113+C108</f>
        <v>255690.2687921701</v>
      </c>
    </row>
    <row r="117" spans="1:10">
      <c r="A117" s="49"/>
      <c r="B117" s="49"/>
      <c r="C117" s="25"/>
    </row>
    <row r="118" spans="1:10">
      <c r="A118" s="49"/>
      <c r="B118" s="49"/>
    </row>
    <row r="119" spans="1:10" ht="17">
      <c r="A119" s="53" t="s">
        <v>108</v>
      </c>
      <c r="B119" s="53"/>
      <c r="C119" s="53"/>
      <c r="D119" s="53"/>
    </row>
    <row r="120" spans="1:10">
      <c r="A120" s="49"/>
      <c r="B120" s="49"/>
      <c r="C120" s="3"/>
      <c r="D120" s="3"/>
      <c r="E120" s="3"/>
      <c r="F120" s="3"/>
      <c r="G120" s="3"/>
      <c r="H120" s="3"/>
      <c r="I120" s="3"/>
      <c r="J120" s="3"/>
    </row>
    <row r="121" spans="1:10">
      <c r="A121" s="49"/>
      <c r="B121" s="49"/>
      <c r="C121" s="3" t="s">
        <v>34</v>
      </c>
      <c r="D121" s="3" t="s">
        <v>35</v>
      </c>
    </row>
    <row r="122" spans="1:10" ht="16">
      <c r="A122" s="49" t="s">
        <v>101</v>
      </c>
      <c r="B122" s="49"/>
      <c r="C122" s="21">
        <f>C36</f>
        <v>850000</v>
      </c>
      <c r="D122" s="21">
        <f>D36</f>
        <v>600000</v>
      </c>
      <c r="F122" s="29"/>
    </row>
    <row r="123" spans="1:10">
      <c r="A123" s="50" t="s">
        <v>96</v>
      </c>
      <c r="B123" s="50"/>
      <c r="C123" s="3"/>
      <c r="D123" s="3"/>
      <c r="F123" s="29"/>
    </row>
    <row r="124" spans="1:10">
      <c r="A124" s="49" t="s">
        <v>109</v>
      </c>
      <c r="B124" s="49"/>
      <c r="C124" s="8">
        <f>C37</f>
        <v>35000</v>
      </c>
      <c r="D124" s="8">
        <f>D37</f>
        <v>50000</v>
      </c>
      <c r="F124" s="29"/>
    </row>
    <row r="125" spans="1:10">
      <c r="A125" s="49" t="s">
        <v>104</v>
      </c>
      <c r="B125" s="49"/>
      <c r="C125" s="14">
        <f>C38</f>
        <v>15</v>
      </c>
      <c r="D125" s="14">
        <f>D38</f>
        <v>10</v>
      </c>
    </row>
    <row r="126" spans="1:10">
      <c r="A126" s="49" t="s">
        <v>110</v>
      </c>
      <c r="B126" s="49"/>
      <c r="C126" s="27">
        <f>$C$19</f>
        <v>0.08</v>
      </c>
      <c r="D126" s="27">
        <f>$C$19</f>
        <v>0.08</v>
      </c>
    </row>
    <row r="127" spans="1:10">
      <c r="A127" s="49" t="s">
        <v>111</v>
      </c>
      <c r="B127" s="49"/>
      <c r="C127" s="28">
        <f>-PV(C126,C125,C124,,)</f>
        <v>299581.75407742313</v>
      </c>
      <c r="D127" s="28">
        <f>-PV(D126,D125,D124,,)</f>
        <v>335504.06994707236</v>
      </c>
    </row>
    <row r="128" spans="1:10">
      <c r="A128" s="49"/>
      <c r="B128" s="49"/>
      <c r="C128" s="25"/>
      <c r="D128" s="25"/>
    </row>
    <row r="129" spans="1:9" ht="16">
      <c r="A129" s="49" t="s">
        <v>112</v>
      </c>
      <c r="B129" s="49"/>
      <c r="C129" s="23">
        <f>C127+C122</f>
        <v>1149581.7540774231</v>
      </c>
      <c r="D129" s="23">
        <f>D127+D122</f>
        <v>935504.0699470723</v>
      </c>
    </row>
    <row r="130" spans="1:9">
      <c r="A130" s="49"/>
      <c r="B130" s="49"/>
      <c r="C130" s="25"/>
      <c r="D130" s="25"/>
    </row>
    <row r="131" spans="1:9">
      <c r="A131" s="49" t="s">
        <v>113</v>
      </c>
      <c r="B131" s="49"/>
      <c r="C131" s="25"/>
      <c r="D131" s="25"/>
    </row>
    <row r="132" spans="1:9">
      <c r="A132" s="49" t="s">
        <v>104</v>
      </c>
      <c r="B132" s="49"/>
      <c r="C132" s="26">
        <f>C38</f>
        <v>15</v>
      </c>
      <c r="D132" s="26">
        <f>D38</f>
        <v>10</v>
      </c>
    </row>
    <row r="133" spans="1:9">
      <c r="A133" s="49" t="s">
        <v>110</v>
      </c>
      <c r="B133" s="49"/>
      <c r="C133" s="27">
        <f>$C$19</f>
        <v>0.08</v>
      </c>
      <c r="D133" s="27">
        <f>$C$19</f>
        <v>0.08</v>
      </c>
    </row>
    <row r="134" spans="1:9" ht="16">
      <c r="A134" s="49" t="s">
        <v>114</v>
      </c>
      <c r="B134" s="49"/>
      <c r="C134" s="23">
        <f>-PMT(C126,C38,C129,,)</f>
        <v>134305.11319561704</v>
      </c>
      <c r="D134" s="23">
        <f>-PMT(D126,D38,D129,,)</f>
        <v>139417.69321824526</v>
      </c>
    </row>
    <row r="135" spans="1:9">
      <c r="A135" s="49"/>
      <c r="B135" s="49"/>
    </row>
    <row r="136" spans="1:9" ht="17">
      <c r="A136" s="53" t="s">
        <v>115</v>
      </c>
      <c r="B136" s="53"/>
      <c r="C136" s="55"/>
      <c r="D136" s="55"/>
      <c r="E136" s="55"/>
    </row>
    <row r="137" spans="1:9">
      <c r="A137" s="49"/>
      <c r="B137" s="49"/>
      <c r="C137" s="30"/>
      <c r="D137" s="30"/>
      <c r="E137" s="30"/>
    </row>
    <row r="138" spans="1:9">
      <c r="A138" s="49" t="s">
        <v>116</v>
      </c>
      <c r="B138" s="49"/>
      <c r="C138" s="5">
        <f>C49</f>
        <v>70</v>
      </c>
      <c r="D138" s="30"/>
      <c r="E138" s="30"/>
    </row>
    <row r="139" spans="1:9">
      <c r="A139" s="49" t="s">
        <v>117</v>
      </c>
      <c r="B139" s="49"/>
      <c r="C139" s="5">
        <f>SUM(C51:C52)</f>
        <v>20</v>
      </c>
      <c r="D139" s="30"/>
      <c r="E139" s="30"/>
    </row>
    <row r="140" spans="1:9">
      <c r="A140" s="49" t="s">
        <v>118</v>
      </c>
      <c r="B140" s="49"/>
      <c r="C140" s="5">
        <f>C49-C139</f>
        <v>50</v>
      </c>
      <c r="D140" s="30"/>
      <c r="E140" s="30"/>
    </row>
    <row r="141" spans="1:9">
      <c r="A141" s="49"/>
      <c r="B141" s="49"/>
      <c r="C141" s="13"/>
      <c r="D141" s="30"/>
      <c r="E141" s="30"/>
    </row>
    <row r="142" spans="1:9">
      <c r="A142" s="49" t="s">
        <v>119</v>
      </c>
      <c r="B142" s="49"/>
      <c r="C142" s="8">
        <f>C45/C9</f>
        <v>600</v>
      </c>
      <c r="D142" s="30"/>
      <c r="E142" s="30"/>
    </row>
    <row r="143" spans="1:9">
      <c r="A143" s="49"/>
      <c r="B143" s="49"/>
      <c r="D143" s="30"/>
      <c r="E143" s="30"/>
    </row>
    <row r="144" spans="1:9">
      <c r="A144" s="49"/>
      <c r="B144" s="49"/>
      <c r="C144" s="50" t="s">
        <v>176</v>
      </c>
      <c r="D144" s="50"/>
      <c r="E144" s="50"/>
      <c r="F144" s="50"/>
      <c r="G144" s="50"/>
      <c r="H144" s="50"/>
      <c r="I144" s="17"/>
    </row>
    <row r="145" spans="1:10" ht="24">
      <c r="A145" s="49"/>
      <c r="B145" s="49"/>
      <c r="C145" s="3" t="s">
        <v>120</v>
      </c>
      <c r="D145" s="3" t="s">
        <v>121</v>
      </c>
      <c r="E145" s="3" t="s">
        <v>122</v>
      </c>
      <c r="F145" s="3" t="s">
        <v>123</v>
      </c>
      <c r="G145" s="3" t="s">
        <v>124</v>
      </c>
      <c r="H145" s="3" t="s">
        <v>125</v>
      </c>
      <c r="I145" s="3"/>
      <c r="J145" s="3"/>
    </row>
    <row r="146" spans="1:10">
      <c r="A146" s="49"/>
      <c r="B146" s="49"/>
      <c r="C146">
        <v>30</v>
      </c>
      <c r="D146" s="8">
        <f>$C$142</f>
        <v>600</v>
      </c>
      <c r="E146" s="8">
        <f>(C146/$C$48)*($C$46*$C$47)</f>
        <v>600</v>
      </c>
      <c r="F146" s="8">
        <f>D146+E146</f>
        <v>1200</v>
      </c>
      <c r="G146" s="8">
        <f>$C$140</f>
        <v>50</v>
      </c>
      <c r="H146" s="31">
        <f>F146/G146</f>
        <v>24</v>
      </c>
    </row>
    <row r="147" spans="1:10">
      <c r="A147" s="49"/>
      <c r="B147" s="49"/>
      <c r="C147">
        <v>40</v>
      </c>
      <c r="D147" s="8">
        <f>$C$142</f>
        <v>600</v>
      </c>
      <c r="E147" s="8">
        <f>(C147/$C$48)*($C$46*$C$47)</f>
        <v>800</v>
      </c>
      <c r="F147" s="8">
        <f>D147+E147</f>
        <v>1400</v>
      </c>
      <c r="G147" s="8">
        <f>$C$140</f>
        <v>50</v>
      </c>
      <c r="H147" s="31">
        <f>F147/G147</f>
        <v>28</v>
      </c>
    </row>
    <row r="148" spans="1:10">
      <c r="A148" s="49"/>
      <c r="B148" s="49"/>
      <c r="C148">
        <v>50</v>
      </c>
      <c r="D148" s="8">
        <f>$C$142</f>
        <v>600</v>
      </c>
      <c r="E148" s="8">
        <f>(C148/$C$48)*($C$46*$C$47)</f>
        <v>1000</v>
      </c>
      <c r="F148" s="8">
        <f>D148+E148</f>
        <v>1600</v>
      </c>
      <c r="G148" s="8">
        <f>$C$140</f>
        <v>50</v>
      </c>
      <c r="H148" s="31">
        <f>F148/G148</f>
        <v>32</v>
      </c>
      <c r="I148" s="13"/>
    </row>
    <row r="149" spans="1:10">
      <c r="A149" s="49"/>
      <c r="B149" s="49"/>
      <c r="D149" s="25"/>
      <c r="E149" s="13"/>
      <c r="F149" s="25"/>
      <c r="G149" s="13"/>
      <c r="H149" s="31"/>
      <c r="I149" s="13"/>
    </row>
    <row r="150" spans="1:10" ht="17">
      <c r="A150" s="53" t="s">
        <v>126</v>
      </c>
      <c r="B150" s="53"/>
      <c r="C150" s="55"/>
      <c r="D150" s="55"/>
      <c r="E150" s="55"/>
      <c r="F150" s="55"/>
      <c r="G150" s="13"/>
      <c r="H150" s="31"/>
      <c r="I150" s="25"/>
    </row>
    <row r="151" spans="1:10">
      <c r="A151" s="49"/>
      <c r="B151" s="49"/>
      <c r="D151" s="25"/>
      <c r="E151" s="13"/>
      <c r="F151" s="25"/>
      <c r="G151" s="13"/>
      <c r="H151" s="31"/>
    </row>
    <row r="152" spans="1:10">
      <c r="A152" s="49" t="s">
        <v>127</v>
      </c>
      <c r="B152" s="49"/>
      <c r="C152" s="7">
        <f>C10</f>
        <v>292500</v>
      </c>
      <c r="D152" s="25"/>
      <c r="E152" s="13"/>
      <c r="F152" s="25"/>
      <c r="G152" s="13"/>
      <c r="H152" s="31"/>
    </row>
    <row r="153" spans="1:10">
      <c r="A153" s="49" t="s">
        <v>128</v>
      </c>
      <c r="B153" s="49"/>
      <c r="C153" s="7">
        <f>(1+C53)*C152</f>
        <v>310050</v>
      </c>
      <c r="D153" s="14"/>
      <c r="E153" s="15"/>
      <c r="F153" s="25"/>
      <c r="G153" s="13"/>
      <c r="H153" s="31"/>
    </row>
    <row r="154" spans="1:10">
      <c r="A154" s="49" t="s">
        <v>129</v>
      </c>
      <c r="B154" s="49"/>
      <c r="C154" s="7">
        <f>C153*C54</f>
        <v>31005</v>
      </c>
    </row>
    <row r="155" spans="1:10">
      <c r="A155" s="49" t="s">
        <v>130</v>
      </c>
      <c r="B155" s="49"/>
      <c r="C155" s="7">
        <f>C55*C154</f>
        <v>7751.25</v>
      </c>
    </row>
    <row r="156" spans="1:10">
      <c r="A156" s="54" t="s">
        <v>131</v>
      </c>
      <c r="B156" s="54"/>
      <c r="C156" s="8">
        <f>C56*C46*C47*C9</f>
        <v>156000</v>
      </c>
    </row>
    <row r="157" spans="1:10">
      <c r="A157" s="54" t="s">
        <v>132</v>
      </c>
      <c r="B157" s="54"/>
      <c r="C157" s="8">
        <f>C156/(1+C15)</f>
        <v>120000</v>
      </c>
    </row>
    <row r="158" spans="1:10">
      <c r="A158" s="49"/>
      <c r="B158" s="49"/>
      <c r="C158" s="7"/>
    </row>
    <row r="159" spans="1:10">
      <c r="A159" s="49"/>
      <c r="B159" s="49"/>
      <c r="H159" s="32"/>
    </row>
    <row r="160" spans="1:10">
      <c r="A160" s="50" t="s">
        <v>133</v>
      </c>
      <c r="B160" s="50"/>
      <c r="H160" s="32"/>
    </row>
    <row r="161" spans="1:3">
      <c r="A161" s="49" t="s">
        <v>134</v>
      </c>
      <c r="B161" s="49"/>
      <c r="C161" s="8">
        <f>C155*C49</f>
        <v>542587.5</v>
      </c>
    </row>
    <row r="162" spans="1:3">
      <c r="A162" s="49" t="s">
        <v>76</v>
      </c>
      <c r="B162" s="49"/>
      <c r="C162" s="8">
        <f>C161</f>
        <v>542587.5</v>
      </c>
    </row>
    <row r="163" spans="1:3">
      <c r="A163" s="49"/>
      <c r="B163" s="49"/>
    </row>
    <row r="164" spans="1:3">
      <c r="A164" s="49" t="s">
        <v>77</v>
      </c>
      <c r="B164" s="49"/>
    </row>
    <row r="165" spans="1:3">
      <c r="A165" s="49" t="s">
        <v>135</v>
      </c>
      <c r="B165" s="49"/>
      <c r="C165" s="8">
        <f>C43</f>
        <v>60000</v>
      </c>
    </row>
    <row r="166" spans="1:3" ht="16">
      <c r="A166" s="49" t="s">
        <v>136</v>
      </c>
      <c r="B166" s="49"/>
      <c r="C166" s="20">
        <f>C157</f>
        <v>120000</v>
      </c>
    </row>
    <row r="167" spans="1:3">
      <c r="A167" s="49" t="s">
        <v>83</v>
      </c>
      <c r="B167" s="49"/>
      <c r="C167" s="8">
        <f>SUM(C165:C166)</f>
        <v>180000</v>
      </c>
    </row>
    <row r="168" spans="1:3" ht="16">
      <c r="A168" s="49" t="s">
        <v>84</v>
      </c>
      <c r="B168" s="49"/>
      <c r="C168" s="20">
        <f>C167*C15</f>
        <v>54000</v>
      </c>
    </row>
    <row r="169" spans="1:3" ht="16">
      <c r="A169" s="49" t="s">
        <v>86</v>
      </c>
      <c r="B169" s="49"/>
      <c r="C169" s="21">
        <f>C168+C167</f>
        <v>234000</v>
      </c>
    </row>
    <row r="170" spans="1:3" ht="16">
      <c r="A170" s="49"/>
      <c r="B170" s="49"/>
      <c r="C170" s="21"/>
    </row>
    <row r="171" spans="1:3" ht="16">
      <c r="A171" s="49" t="s">
        <v>87</v>
      </c>
      <c r="B171" s="49"/>
      <c r="C171" s="21"/>
    </row>
    <row r="172" spans="1:3" ht="16">
      <c r="A172" s="49" t="s">
        <v>137</v>
      </c>
      <c r="B172" s="49"/>
      <c r="C172" s="21">
        <f>C155*C139</f>
        <v>155025</v>
      </c>
    </row>
    <row r="173" spans="1:3" ht="16">
      <c r="A173" s="49" t="s">
        <v>93</v>
      </c>
      <c r="B173" s="49"/>
      <c r="C173" s="21">
        <f>C172+C169</f>
        <v>389025</v>
      </c>
    </row>
    <row r="174" spans="1:3">
      <c r="A174" s="49"/>
      <c r="B174" s="49"/>
      <c r="C174" s="13"/>
    </row>
    <row r="175" spans="1:3" ht="16">
      <c r="A175" s="49" t="s">
        <v>94</v>
      </c>
      <c r="B175" s="49"/>
      <c r="C175" s="23">
        <f>C162-C173</f>
        <v>153562.5</v>
      </c>
    </row>
    <row r="176" spans="1:3">
      <c r="A176" s="49"/>
      <c r="B176" s="49"/>
    </row>
    <row r="177" spans="1:5" ht="17">
      <c r="A177" s="53" t="s">
        <v>138</v>
      </c>
      <c r="B177" s="53"/>
      <c r="C177" s="53"/>
      <c r="D177" s="53"/>
    </row>
    <row r="178" spans="1:5" ht="17">
      <c r="A178" s="54"/>
      <c r="B178" s="54"/>
      <c r="C178" s="33"/>
      <c r="D178" s="33"/>
    </row>
    <row r="179" spans="1:5" ht="17">
      <c r="A179" s="54" t="s">
        <v>56</v>
      </c>
      <c r="B179" s="54"/>
      <c r="C179" s="13">
        <f>C59</f>
        <v>6000000</v>
      </c>
      <c r="D179" s="33"/>
    </row>
    <row r="180" spans="1:5" ht="17">
      <c r="A180" s="54" t="s">
        <v>57</v>
      </c>
      <c r="B180" s="54"/>
      <c r="C180" s="4">
        <f>C60</f>
        <v>0.05</v>
      </c>
      <c r="D180" s="33"/>
    </row>
    <row r="181" spans="1:5" ht="17">
      <c r="A181" s="54" t="s">
        <v>139</v>
      </c>
      <c r="B181" s="54"/>
      <c r="C181" s="34">
        <f>C179*C180</f>
        <v>300000</v>
      </c>
      <c r="D181" s="33"/>
    </row>
    <row r="182" spans="1:5" ht="17">
      <c r="A182" s="49" t="s">
        <v>140</v>
      </c>
      <c r="B182" s="49"/>
      <c r="C182" s="13">
        <f>C28/C33</f>
        <v>410000</v>
      </c>
      <c r="D182" s="33"/>
    </row>
    <row r="183" spans="1:5">
      <c r="A183" s="49" t="s">
        <v>141</v>
      </c>
      <c r="B183" s="49"/>
      <c r="C183" s="13">
        <f>((1-C40)*C36)/C39</f>
        <v>80750</v>
      </c>
      <c r="E183" s="35"/>
    </row>
    <row r="184" spans="1:5">
      <c r="A184" s="54"/>
      <c r="B184" s="54"/>
    </row>
    <row r="185" spans="1:5">
      <c r="A185" s="49" t="s">
        <v>67</v>
      </c>
      <c r="B185" s="49"/>
    </row>
    <row r="186" spans="1:5">
      <c r="A186" s="49" t="s">
        <v>68</v>
      </c>
      <c r="B186" s="49"/>
      <c r="C186" s="8">
        <f>(C72+C73)*(1+C53)</f>
        <v>16045087.5</v>
      </c>
      <c r="E186" s="36"/>
    </row>
    <row r="187" spans="1:5">
      <c r="A187" s="49" t="s">
        <v>72</v>
      </c>
      <c r="B187" s="49"/>
      <c r="C187" s="14">
        <f>(1+C53)*C74</f>
        <v>2480400</v>
      </c>
    </row>
    <row r="188" spans="1:5">
      <c r="A188" s="49" t="s">
        <v>73</v>
      </c>
      <c r="B188" s="49"/>
      <c r="C188" s="14">
        <f>(1+C53)*C75</f>
        <v>1240200</v>
      </c>
    </row>
    <row r="189" spans="1:5" ht="16">
      <c r="A189" s="49" t="s">
        <v>74</v>
      </c>
      <c r="B189" s="49"/>
      <c r="C189" s="20">
        <f>C76</f>
        <v>2000000</v>
      </c>
    </row>
    <row r="190" spans="1:5" ht="16">
      <c r="A190" s="49" t="s">
        <v>76</v>
      </c>
      <c r="B190" s="49"/>
      <c r="C190" s="21">
        <f>SUM(C186:C189)</f>
        <v>21765687.5</v>
      </c>
    </row>
    <row r="191" spans="1:5">
      <c r="A191" s="49"/>
      <c r="B191" s="49"/>
    </row>
    <row r="192" spans="1:5">
      <c r="A192" s="49" t="s">
        <v>77</v>
      </c>
      <c r="B192" s="49"/>
    </row>
    <row r="193" spans="1:3">
      <c r="A193" s="49" t="s">
        <v>78</v>
      </c>
      <c r="B193" s="49"/>
    </row>
    <row r="194" spans="1:3">
      <c r="A194" s="49" t="s">
        <v>142</v>
      </c>
      <c r="B194" s="49"/>
      <c r="C194" s="8">
        <f>C81</f>
        <v>1800000</v>
      </c>
    </row>
    <row r="195" spans="1:3">
      <c r="A195" s="49" t="s">
        <v>143</v>
      </c>
      <c r="B195" s="49"/>
      <c r="C195" s="14">
        <f>C82</f>
        <v>3850000</v>
      </c>
    </row>
    <row r="196" spans="1:3">
      <c r="A196" s="49" t="s">
        <v>144</v>
      </c>
      <c r="B196" s="49"/>
      <c r="C196" s="14">
        <f>C83</f>
        <v>3276000</v>
      </c>
    </row>
    <row r="197" spans="1:3">
      <c r="A197" s="49" t="s">
        <v>145</v>
      </c>
      <c r="B197" s="49"/>
      <c r="C197" s="14">
        <f>C43+C157</f>
        <v>180000</v>
      </c>
    </row>
    <row r="198" spans="1:3" ht="16">
      <c r="A198" s="49" t="s">
        <v>146</v>
      </c>
      <c r="B198" s="49"/>
      <c r="C198" s="20">
        <f>C84</f>
        <v>624000</v>
      </c>
    </row>
    <row r="199" spans="1:3">
      <c r="A199" s="49" t="s">
        <v>83</v>
      </c>
      <c r="B199" s="49"/>
      <c r="C199" s="8">
        <f>SUM(C194:C198)</f>
        <v>9730000</v>
      </c>
    </row>
    <row r="200" spans="1:3">
      <c r="A200" s="49" t="s">
        <v>84</v>
      </c>
      <c r="B200" s="49"/>
      <c r="C200" s="37">
        <f>C199*C15</f>
        <v>2919000</v>
      </c>
    </row>
    <row r="201" spans="1:3">
      <c r="A201" s="49" t="s">
        <v>86</v>
      </c>
      <c r="B201" s="49"/>
      <c r="C201" s="28">
        <f>C199+C200</f>
        <v>12649000</v>
      </c>
    </row>
    <row r="202" spans="1:3">
      <c r="A202" s="49"/>
      <c r="B202" s="49"/>
      <c r="C202" s="13"/>
    </row>
    <row r="203" spans="1:3">
      <c r="A203" s="49" t="s">
        <v>87</v>
      </c>
      <c r="B203" s="49"/>
    </row>
    <row r="204" spans="1:3">
      <c r="A204" s="49" t="s">
        <v>88</v>
      </c>
      <c r="B204" s="49"/>
      <c r="C204" s="8">
        <f>C90</f>
        <v>3042000</v>
      </c>
    </row>
    <row r="205" spans="1:3">
      <c r="A205" s="49" t="s">
        <v>89</v>
      </c>
      <c r="B205" s="49"/>
      <c r="C205" s="14">
        <f>C91-C31</f>
        <v>1680000</v>
      </c>
    </row>
    <row r="206" spans="1:3">
      <c r="A206" s="49" t="s">
        <v>90</v>
      </c>
      <c r="B206" s="49"/>
      <c r="C206" s="14">
        <f>C92</f>
        <v>1950000</v>
      </c>
    </row>
    <row r="207" spans="1:3">
      <c r="A207" s="49" t="s">
        <v>91</v>
      </c>
      <c r="B207" s="49"/>
      <c r="C207" s="14">
        <f>C188*C13</f>
        <v>496080</v>
      </c>
    </row>
    <row r="208" spans="1:3">
      <c r="A208" s="49" t="s">
        <v>147</v>
      </c>
      <c r="B208" s="49"/>
      <c r="C208" s="14">
        <f>C172</f>
        <v>155025</v>
      </c>
    </row>
    <row r="209" spans="1:10">
      <c r="A209" s="49" t="s">
        <v>148</v>
      </c>
      <c r="B209" s="49"/>
      <c r="C209" s="14">
        <f>C183+C182</f>
        <v>490750</v>
      </c>
    </row>
    <row r="210" spans="1:10" ht="16">
      <c r="A210" s="49" t="s">
        <v>149</v>
      </c>
      <c r="B210" s="49"/>
      <c r="C210" s="20">
        <f>C181</f>
        <v>300000</v>
      </c>
    </row>
    <row r="211" spans="1:10" ht="16">
      <c r="A211" s="49" t="s">
        <v>92</v>
      </c>
      <c r="B211" s="49"/>
      <c r="C211" s="21">
        <f>SUM(C204:C210)</f>
        <v>8113855</v>
      </c>
    </row>
    <row r="212" spans="1:10">
      <c r="A212" s="49"/>
      <c r="B212" s="49"/>
    </row>
    <row r="213" spans="1:10" ht="16">
      <c r="A213" s="49" t="s">
        <v>93</v>
      </c>
      <c r="B213" s="49"/>
      <c r="C213" s="21">
        <f>C211+C201</f>
        <v>20762855</v>
      </c>
    </row>
    <row r="214" spans="1:10">
      <c r="A214" s="49"/>
      <c r="B214" s="49"/>
    </row>
    <row r="215" spans="1:10" ht="16">
      <c r="A215" s="49" t="s">
        <v>94</v>
      </c>
      <c r="B215" s="49"/>
      <c r="C215" s="23">
        <f>C190-C213</f>
        <v>1002832.5</v>
      </c>
    </row>
    <row r="217" spans="1:10" ht="17">
      <c r="A217" s="53" t="s">
        <v>150</v>
      </c>
      <c r="B217" s="53"/>
      <c r="C217" s="53"/>
      <c r="D217" s="53"/>
    </row>
    <row r="218" spans="1:10" ht="17">
      <c r="A218" s="49"/>
      <c r="B218" s="49"/>
      <c r="C218" s="33"/>
      <c r="D218" s="33"/>
    </row>
    <row r="219" spans="1:10">
      <c r="A219" s="50" t="s">
        <v>151</v>
      </c>
      <c r="B219" s="50"/>
      <c r="C219" s="38" t="s">
        <v>152</v>
      </c>
      <c r="D219" s="38" t="s">
        <v>153</v>
      </c>
      <c r="E219" s="38" t="s">
        <v>154</v>
      </c>
      <c r="F219" s="38" t="s">
        <v>155</v>
      </c>
      <c r="G219" s="49"/>
      <c r="H219" s="49"/>
      <c r="I219" s="49"/>
      <c r="J219" s="49"/>
    </row>
    <row r="220" spans="1:10" ht="36">
      <c r="A220" s="52" t="s">
        <v>156</v>
      </c>
      <c r="B220" s="52"/>
      <c r="C220" s="3" t="s">
        <v>157</v>
      </c>
      <c r="D220" s="3" t="s">
        <v>158</v>
      </c>
      <c r="E220" s="3" t="s">
        <v>159</v>
      </c>
      <c r="F220" s="3" t="s">
        <v>160</v>
      </c>
      <c r="G220" s="3"/>
      <c r="H220" s="3"/>
      <c r="I220" s="3"/>
      <c r="J220" s="3"/>
    </row>
    <row r="221" spans="1:10">
      <c r="A221" s="49" t="s">
        <v>161</v>
      </c>
      <c r="B221" s="49"/>
      <c r="C221" s="39">
        <v>115</v>
      </c>
      <c r="D221" s="39">
        <f>E221</f>
        <v>115</v>
      </c>
      <c r="E221" s="39">
        <f>C221</f>
        <v>115</v>
      </c>
      <c r="F221">
        <f>C9</f>
        <v>130</v>
      </c>
    </row>
    <row r="222" spans="1:10">
      <c r="A222" s="49" t="s">
        <v>162</v>
      </c>
      <c r="B222" s="49"/>
      <c r="C222" s="40">
        <v>2600</v>
      </c>
      <c r="D222" s="40">
        <f>C222</f>
        <v>2600</v>
      </c>
      <c r="E222" s="14">
        <f>F222</f>
        <v>2385</v>
      </c>
      <c r="F222" s="14">
        <f>C153/C9</f>
        <v>2385</v>
      </c>
    </row>
    <row r="223" spans="1:10">
      <c r="A223" s="49" t="s">
        <v>163</v>
      </c>
      <c r="B223" s="49"/>
      <c r="C223" s="41">
        <v>50.5</v>
      </c>
      <c r="D223" s="5">
        <f>E223</f>
        <v>51.75</v>
      </c>
      <c r="E223" s="5">
        <f>F223</f>
        <v>51.75</v>
      </c>
      <c r="F223" s="5">
        <f>C186/C153</f>
        <v>51.75</v>
      </c>
    </row>
    <row r="224" spans="1:10" ht="16">
      <c r="A224" s="49" t="s">
        <v>164</v>
      </c>
      <c r="B224" s="49"/>
      <c r="C224" s="42">
        <f>C221*C222*C223</f>
        <v>15099500</v>
      </c>
      <c r="D224" s="21">
        <f>D221*D222*D223</f>
        <v>15473250</v>
      </c>
      <c r="E224" s="21">
        <f>E221*E222*E223</f>
        <v>14193731.25</v>
      </c>
      <c r="F224" s="21">
        <f>F221*F222*F223</f>
        <v>16045087.5</v>
      </c>
    </row>
    <row r="225" spans="1:6">
      <c r="A225" s="50" t="s">
        <v>165</v>
      </c>
      <c r="B225" s="50"/>
      <c r="C225" s="50"/>
      <c r="D225" s="50"/>
      <c r="E225" s="50"/>
      <c r="F225" s="50"/>
    </row>
    <row r="226" spans="1:6">
      <c r="A226" s="49"/>
      <c r="B226" s="49"/>
      <c r="C226" s="17"/>
      <c r="D226" s="17"/>
      <c r="E226" s="17"/>
      <c r="F226" s="17"/>
    </row>
    <row r="227" spans="1:6">
      <c r="A227" s="49"/>
      <c r="B227" s="49"/>
      <c r="E227" s="52" t="s">
        <v>166</v>
      </c>
      <c r="F227" s="52"/>
    </row>
    <row r="228" spans="1:6">
      <c r="A228" s="49" t="s">
        <v>167</v>
      </c>
      <c r="B228" s="49"/>
      <c r="C228" s="8">
        <f>C224-F224</f>
        <v>-945587.5</v>
      </c>
      <c r="D228" s="19" t="str">
        <f>IF(C228&lt;0,"U","F")</f>
        <v>U</v>
      </c>
      <c r="E228" s="52" t="s">
        <v>168</v>
      </c>
      <c r="F228" s="52"/>
    </row>
    <row r="229" spans="1:6">
      <c r="A229" s="49"/>
      <c r="B229" s="49"/>
      <c r="C229" s="8"/>
      <c r="D229" s="19"/>
      <c r="E229" s="52"/>
      <c r="F229" s="52"/>
    </row>
    <row r="230" spans="1:6">
      <c r="A230" s="49" t="s">
        <v>169</v>
      </c>
      <c r="B230" s="49"/>
      <c r="C230" s="43">
        <f>E224-F224</f>
        <v>-1851356.25</v>
      </c>
      <c r="D230" s="19" t="str">
        <f>IF(C230&lt;0,"U","F")</f>
        <v>U</v>
      </c>
      <c r="E230" s="52" t="s">
        <v>170</v>
      </c>
      <c r="F230" s="52"/>
    </row>
    <row r="231" spans="1:6">
      <c r="A231" s="49" t="s">
        <v>171</v>
      </c>
      <c r="B231" s="49"/>
      <c r="C231" s="43">
        <f>D224-E224</f>
        <v>1279518.75</v>
      </c>
      <c r="D231" s="19" t="str">
        <f>IF(C231&lt;0,"U","F")</f>
        <v>F</v>
      </c>
      <c r="E231" s="52" t="s">
        <v>172</v>
      </c>
      <c r="F231" s="52"/>
    </row>
    <row r="232" spans="1:6" ht="16">
      <c r="A232" s="49" t="s">
        <v>173</v>
      </c>
      <c r="B232" s="49"/>
      <c r="C232" s="44">
        <f>C224-D224</f>
        <v>-373750</v>
      </c>
      <c r="D232" s="19" t="str">
        <f>IF(C232&lt;0,"U","F")</f>
        <v>U</v>
      </c>
      <c r="E232" s="52" t="s">
        <v>174</v>
      </c>
      <c r="F232" s="52"/>
    </row>
    <row r="233" spans="1:6">
      <c r="A233" s="49"/>
      <c r="B233" s="49"/>
      <c r="C233" s="8"/>
      <c r="D233" s="19"/>
      <c r="E233" s="52"/>
      <c r="F233" s="52"/>
    </row>
    <row r="234" spans="1:6" ht="16">
      <c r="A234" s="49" t="s">
        <v>167</v>
      </c>
      <c r="B234" s="49"/>
      <c r="C234" s="23">
        <f>SUM(C230:C232)</f>
        <v>-945587.5</v>
      </c>
      <c r="D234" s="19" t="str">
        <f>IF(C234&lt;0,"U","F")</f>
        <v>U</v>
      </c>
      <c r="E234" s="52" t="s">
        <v>175</v>
      </c>
      <c r="F234" s="52"/>
    </row>
    <row r="235" spans="1:6">
      <c r="A235" s="49"/>
      <c r="B235" s="49"/>
      <c r="D235" s="19"/>
    </row>
    <row r="236" spans="1:6">
      <c r="A236" s="49"/>
      <c r="B236" s="49"/>
      <c r="D236" s="19"/>
    </row>
    <row r="237" spans="1:6">
      <c r="A237" s="49"/>
      <c r="B237" s="49"/>
    </row>
    <row r="238" spans="1:6">
      <c r="A238" s="49"/>
      <c r="B238" s="49"/>
    </row>
  </sheetData>
  <mergeCells count="246">
    <mergeCell ref="A234:B234"/>
    <mergeCell ref="E234:F234"/>
    <mergeCell ref="A235:B235"/>
    <mergeCell ref="A236:B236"/>
    <mergeCell ref="A237:B237"/>
    <mergeCell ref="A238:B238"/>
    <mergeCell ref="A231:B231"/>
    <mergeCell ref="E231:F231"/>
    <mergeCell ref="A232:B232"/>
    <mergeCell ref="E232:F232"/>
    <mergeCell ref="A233:B233"/>
    <mergeCell ref="E233:F233"/>
    <mergeCell ref="A228:B228"/>
    <mergeCell ref="E228:F228"/>
    <mergeCell ref="A229:B229"/>
    <mergeCell ref="E229:F229"/>
    <mergeCell ref="A230:B230"/>
    <mergeCell ref="E230:F230"/>
    <mergeCell ref="A223:B223"/>
    <mergeCell ref="A224:B224"/>
    <mergeCell ref="A225:F225"/>
    <mergeCell ref="A226:B226"/>
    <mergeCell ref="A227:B227"/>
    <mergeCell ref="E227:F227"/>
    <mergeCell ref="A219:B219"/>
    <mergeCell ref="G219:H219"/>
    <mergeCell ref="I219:J219"/>
    <mergeCell ref="A220:B220"/>
    <mergeCell ref="A221:B221"/>
    <mergeCell ref="A222:B222"/>
    <mergeCell ref="A212:B212"/>
    <mergeCell ref="A213:B213"/>
    <mergeCell ref="A214:B214"/>
    <mergeCell ref="A215:B215"/>
    <mergeCell ref="A217:D217"/>
    <mergeCell ref="A218:B218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176:B176"/>
    <mergeCell ref="A177:D177"/>
    <mergeCell ref="A178:B178"/>
    <mergeCell ref="A179:B179"/>
    <mergeCell ref="A180:B180"/>
    <mergeCell ref="A181:B181"/>
    <mergeCell ref="A170:B170"/>
    <mergeCell ref="A171:B171"/>
    <mergeCell ref="A172:B172"/>
    <mergeCell ref="A173:B173"/>
    <mergeCell ref="A174:B174"/>
    <mergeCell ref="A175:B175"/>
    <mergeCell ref="A164:B164"/>
    <mergeCell ref="A165:B165"/>
    <mergeCell ref="A166:B166"/>
    <mergeCell ref="A167:B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F150"/>
    <mergeCell ref="A151:B151"/>
    <mergeCell ref="A141:B141"/>
    <mergeCell ref="A142:B142"/>
    <mergeCell ref="A143:B143"/>
    <mergeCell ref="A144:B144"/>
    <mergeCell ref="C144:H144"/>
    <mergeCell ref="A145:B145"/>
    <mergeCell ref="A135:B135"/>
    <mergeCell ref="A136:E136"/>
    <mergeCell ref="A137:B137"/>
    <mergeCell ref="A138:B138"/>
    <mergeCell ref="A139:B139"/>
    <mergeCell ref="A140:B140"/>
    <mergeCell ref="A129:B129"/>
    <mergeCell ref="A130:B130"/>
    <mergeCell ref="A131:B131"/>
    <mergeCell ref="A132:B132"/>
    <mergeCell ref="A133:B133"/>
    <mergeCell ref="A134:B134"/>
    <mergeCell ref="A123:B123"/>
    <mergeCell ref="A124:B124"/>
    <mergeCell ref="A125:B125"/>
    <mergeCell ref="A126:B126"/>
    <mergeCell ref="A127:B127"/>
    <mergeCell ref="A128:B128"/>
    <mergeCell ref="A117:B117"/>
    <mergeCell ref="A118:B118"/>
    <mergeCell ref="A119:D119"/>
    <mergeCell ref="A120:B120"/>
    <mergeCell ref="A121:B121"/>
    <mergeCell ref="A122:B122"/>
    <mergeCell ref="A111:B111"/>
    <mergeCell ref="A112:B112"/>
    <mergeCell ref="A113:B113"/>
    <mergeCell ref="A114:B114"/>
    <mergeCell ref="A115:B115"/>
    <mergeCell ref="A116:B116"/>
    <mergeCell ref="A105:B105"/>
    <mergeCell ref="A106:B106"/>
    <mergeCell ref="A107:B107"/>
    <mergeCell ref="A108:B108"/>
    <mergeCell ref="A109:B109"/>
    <mergeCell ref="A110:B110"/>
    <mergeCell ref="A99:B99"/>
    <mergeCell ref="A100:D100"/>
    <mergeCell ref="A101:B101"/>
    <mergeCell ref="A102:B102"/>
    <mergeCell ref="A103:B103"/>
    <mergeCell ref="A104:B104"/>
    <mergeCell ref="A93:B93"/>
    <mergeCell ref="A94:B94"/>
    <mergeCell ref="A95:B95"/>
    <mergeCell ref="A96:B96"/>
    <mergeCell ref="A97:B97"/>
    <mergeCell ref="A98:B98"/>
    <mergeCell ref="A87:B87"/>
    <mergeCell ref="A88:B88"/>
    <mergeCell ref="A89:B89"/>
    <mergeCell ref="A90:B90"/>
    <mergeCell ref="A91:B91"/>
    <mergeCell ref="A92:B92"/>
    <mergeCell ref="A81:B81"/>
    <mergeCell ref="A82:B82"/>
    <mergeCell ref="A83:B83"/>
    <mergeCell ref="A84:B84"/>
    <mergeCell ref="A85:B85"/>
    <mergeCell ref="A86:B86"/>
    <mergeCell ref="A75:B75"/>
    <mergeCell ref="A76:B76"/>
    <mergeCell ref="A77:B77"/>
    <mergeCell ref="A78:B78"/>
    <mergeCell ref="A79:B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D68"/>
    <mergeCell ref="A57:B57"/>
    <mergeCell ref="A58:B58"/>
    <mergeCell ref="A59:B59"/>
    <mergeCell ref="A60:B60"/>
    <mergeCell ref="A61:B61"/>
    <mergeCell ref="A62:B62"/>
    <mergeCell ref="A51:B51"/>
    <mergeCell ref="A52:B52"/>
    <mergeCell ref="A53:B53"/>
    <mergeCell ref="A54:B54"/>
    <mergeCell ref="A55:B55"/>
    <mergeCell ref="A56:B56"/>
    <mergeCell ref="A45:B45"/>
    <mergeCell ref="A46:B46"/>
    <mergeCell ref="A47:B47"/>
    <mergeCell ref="A48:B48"/>
    <mergeCell ref="A49:B49"/>
    <mergeCell ref="A50:B50"/>
    <mergeCell ref="A39:B39"/>
    <mergeCell ref="A40:B40"/>
    <mergeCell ref="A41:B41"/>
    <mergeCell ref="A42:B42"/>
    <mergeCell ref="A43:B43"/>
    <mergeCell ref="A44:B44"/>
    <mergeCell ref="A33:B33"/>
    <mergeCell ref="A34:B34"/>
    <mergeCell ref="A35:B35"/>
    <mergeCell ref="A36:B36"/>
    <mergeCell ref="A37:B37"/>
    <mergeCell ref="A38:B38"/>
    <mergeCell ref="A27:B27"/>
    <mergeCell ref="A28:B28"/>
    <mergeCell ref="A29:B29"/>
    <mergeCell ref="A30:B30"/>
    <mergeCell ref="A31:B31"/>
    <mergeCell ref="A32:B32"/>
    <mergeCell ref="A21:B21"/>
    <mergeCell ref="A22:B22"/>
    <mergeCell ref="A23:B23"/>
    <mergeCell ref="A24:B24"/>
    <mergeCell ref="A25:B25"/>
    <mergeCell ref="A26:B26"/>
    <mergeCell ref="A18:B18"/>
    <mergeCell ref="A19:B19"/>
    <mergeCell ref="A20:B20"/>
    <mergeCell ref="A9:B9"/>
    <mergeCell ref="A10:B10"/>
    <mergeCell ref="A11:B11"/>
    <mergeCell ref="A12:B12"/>
    <mergeCell ref="A13:B13"/>
    <mergeCell ref="A14:B14"/>
    <mergeCell ref="A4:B4"/>
    <mergeCell ref="A5:B5"/>
    <mergeCell ref="A6:B6"/>
    <mergeCell ref="A7:B7"/>
    <mergeCell ref="A8:B8"/>
    <mergeCell ref="A1:H1"/>
    <mergeCell ref="A15:B15"/>
    <mergeCell ref="A16:B16"/>
    <mergeCell ref="A17:B1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Glory Mountain</vt:lpstr>
    </vt:vector>
  </TitlesOfParts>
  <Company>University at Albany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Purtell</dc:creator>
  <cp:lastModifiedBy>Thad Calabrese</cp:lastModifiedBy>
  <dcterms:created xsi:type="dcterms:W3CDTF">2011-09-02T18:48:49Z</dcterms:created>
  <dcterms:modified xsi:type="dcterms:W3CDTF">2016-01-11T04:23:06Z</dcterms:modified>
</cp:coreProperties>
</file>